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060" windowHeight="12915" activeTab="2"/>
  </bookViews>
  <sheets>
    <sheet name="Sources" sheetId="1" r:id="rId1"/>
    <sheet name="Prefix, basics" sheetId="2" r:id="rId2"/>
    <sheet name="Units" sheetId="3" r:id="rId3"/>
    <sheet name="Fuels" sheetId="4" r:id="rId4"/>
    <sheet name="Uses" sheetId="5" r:id="rId5"/>
    <sheet name="Oil density" sheetId="6" r:id="rId6"/>
  </sheets>
  <definedNames/>
  <calcPr fullCalcOnLoad="1"/>
</workbook>
</file>

<file path=xl/comments3.xml><?xml version="1.0" encoding="utf-8"?>
<comments xmlns="http://schemas.openxmlformats.org/spreadsheetml/2006/main">
  <authors>
    <author>Steven</author>
  </authors>
  <commentList>
    <comment ref="F23" authorId="0">
      <text>
        <r>
          <rPr>
            <b/>
            <sz val="8"/>
            <rFont val="Tahoma"/>
            <family val="0"/>
          </rPr>
          <t>Steven:</t>
        </r>
        <r>
          <rPr>
            <sz val="8"/>
            <rFont val="Tahoma"/>
            <family val="0"/>
          </rPr>
          <t xml:space="preserve">
Agrees with DOE</t>
        </r>
      </text>
    </comment>
    <comment ref="F16" authorId="0">
      <text>
        <r>
          <rPr>
            <b/>
            <sz val="8"/>
            <rFont val="Tahoma"/>
            <family val="0"/>
          </rPr>
          <t>Steven:</t>
        </r>
        <r>
          <rPr>
            <sz val="8"/>
            <rFont val="Tahoma"/>
            <family val="0"/>
          </rPr>
          <t xml:space="preserve">
4.186 is the U.S. definition.</t>
        </r>
      </text>
    </comment>
  </commentList>
</comments>
</file>

<file path=xl/comments4.xml><?xml version="1.0" encoding="utf-8"?>
<comments xmlns="http://schemas.openxmlformats.org/spreadsheetml/2006/main">
  <authors>
    <author>Steven</author>
  </authors>
  <commentList>
    <comment ref="D18" authorId="0">
      <text>
        <r>
          <rPr>
            <b/>
            <sz val="8"/>
            <rFont val="Tahoma"/>
            <family val="0"/>
          </rPr>
          <t>SPE gets it from DOE, who got it from the Bureau of Mines in 1950</t>
        </r>
        <r>
          <rPr>
            <sz val="8"/>
            <rFont val="Tahoma"/>
            <family val="0"/>
          </rPr>
          <t xml:space="preserve">
</t>
        </r>
      </text>
    </comment>
    <comment ref="V18" authorId="0">
      <text>
        <r>
          <rPr>
            <b/>
            <sz val="8"/>
            <rFont val="Tahoma"/>
            <family val="0"/>
          </rPr>
          <t>Steven:</t>
        </r>
        <r>
          <rPr>
            <sz val="8"/>
            <rFont val="Tahoma"/>
            <family val="0"/>
          </rPr>
          <t xml:space="preserve">
http://unstats.un.org/unsd/energy/yearbook/conversion.htm</t>
        </r>
      </text>
    </comment>
    <comment ref="V34" authorId="0">
      <text>
        <r>
          <rPr>
            <b/>
            <sz val="8"/>
            <rFont val="Tahoma"/>
            <family val="0"/>
          </rPr>
          <t>Steven:</t>
        </r>
        <r>
          <rPr>
            <sz val="8"/>
            <rFont val="Tahoma"/>
            <family val="0"/>
          </rPr>
          <t xml:space="preserve">
http://unstats.un.org/unsd/energy/yearbook/conversion.htm</t>
        </r>
      </text>
    </comment>
    <comment ref="V7" authorId="0">
      <text>
        <r>
          <rPr>
            <b/>
            <sz val="8"/>
            <rFont val="Tahoma"/>
            <family val="0"/>
          </rPr>
          <t>Steven:</t>
        </r>
        <r>
          <rPr>
            <sz val="8"/>
            <rFont val="Tahoma"/>
            <family val="0"/>
          </rPr>
          <t xml:space="preserve">
http://unstats.un.org/unsd/energy/yearbook/conversion.htm</t>
        </r>
      </text>
    </comment>
    <comment ref="V10" authorId="0">
      <text>
        <r>
          <rPr>
            <b/>
            <sz val="8"/>
            <rFont val="Tahoma"/>
            <family val="0"/>
          </rPr>
          <t>Steven:</t>
        </r>
        <r>
          <rPr>
            <sz val="8"/>
            <rFont val="Tahoma"/>
            <family val="0"/>
          </rPr>
          <t xml:space="preserve">
http://unstats.un.org/unsd/energy/yearbook/conversion.htm</t>
        </r>
      </text>
    </comment>
    <comment ref="V38" authorId="0">
      <text>
        <r>
          <rPr>
            <b/>
            <sz val="8"/>
            <rFont val="Tahoma"/>
            <family val="0"/>
          </rPr>
          <t>Steven:</t>
        </r>
        <r>
          <rPr>
            <sz val="8"/>
            <rFont val="Tahoma"/>
            <family val="0"/>
          </rPr>
          <t xml:space="preserve">
http://unstats.un.org/unsd/energy/yearbook/conversion.htm</t>
        </r>
      </text>
    </comment>
    <comment ref="AC5" authorId="0">
      <text>
        <r>
          <rPr>
            <b/>
            <sz val="8"/>
            <rFont val="Tahoma"/>
            <family val="0"/>
          </rPr>
          <t>Steven:</t>
        </r>
        <r>
          <rPr>
            <sz val="8"/>
            <rFont val="Tahoma"/>
            <family val="0"/>
          </rPr>
          <t xml:space="preserve">
Calculated from energy per liter and per kg.</t>
        </r>
      </text>
    </comment>
    <comment ref="AD5" authorId="0">
      <text>
        <r>
          <rPr>
            <b/>
            <sz val="8"/>
            <rFont val="Tahoma"/>
            <family val="0"/>
          </rPr>
          <t>Steven:</t>
        </r>
        <r>
          <rPr>
            <sz val="8"/>
            <rFont val="Tahoma"/>
            <family val="0"/>
          </rPr>
          <t xml:space="preserve">
Predicted from relation of MJ/L to kg/Liter, as found from regression at the right.</t>
        </r>
      </text>
    </comment>
    <comment ref="AH8" authorId="0">
      <text>
        <r>
          <rPr>
            <b/>
            <sz val="8"/>
            <rFont val="Tahoma"/>
            <family val="0"/>
          </rPr>
          <t>Steven:</t>
        </r>
        <r>
          <rPr>
            <sz val="8"/>
            <rFont val="Tahoma"/>
            <family val="0"/>
          </rPr>
          <t xml:space="preserve">
Agrees almost perfectly with prediction from #12</t>
        </r>
      </text>
    </comment>
    <comment ref="O14" authorId="0">
      <text>
        <r>
          <rPr>
            <b/>
            <sz val="8"/>
            <rFont val="Tahoma"/>
            <family val="0"/>
          </rPr>
          <t>Steven:</t>
        </r>
        <r>
          <rPr>
            <sz val="8"/>
            <rFont val="Tahoma"/>
            <family val="0"/>
          </rPr>
          <t xml:space="preserve">
http://www.distill.com/specs/Canada1.html</t>
        </r>
      </text>
    </comment>
    <comment ref="E38" authorId="0">
      <text>
        <r>
          <rPr>
            <b/>
            <sz val="8"/>
            <rFont val="Tahoma"/>
            <family val="0"/>
          </rPr>
          <t>Steven:</t>
        </r>
        <r>
          <rPr>
            <sz val="8"/>
            <rFont val="Tahoma"/>
            <family val="0"/>
          </rPr>
          <t xml:space="preserve">
Extrapolated from line below.</t>
        </r>
      </text>
    </comment>
    <comment ref="E13" authorId="0">
      <text>
        <r>
          <rPr>
            <b/>
            <sz val="8"/>
            <rFont val="Tahoma"/>
            <family val="0"/>
          </rPr>
          <t>Steven:</t>
        </r>
        <r>
          <rPr>
            <sz val="8"/>
            <rFont val="Tahoma"/>
            <family val="0"/>
          </rPr>
          <t xml:space="preserve">
Extrapolated from line below.</t>
        </r>
      </text>
    </comment>
    <comment ref="O12" authorId="0">
      <text>
        <r>
          <rPr>
            <b/>
            <sz val="8"/>
            <rFont val="Tahoma"/>
            <family val="0"/>
          </rPr>
          <t>Steven:</t>
        </r>
        <r>
          <rPr>
            <sz val="8"/>
            <rFont val="Tahoma"/>
            <family val="0"/>
          </rPr>
          <t xml:space="preserve">
agrees with #13</t>
        </r>
      </text>
    </comment>
    <comment ref="V21" authorId="0">
      <text>
        <r>
          <rPr>
            <b/>
            <sz val="8"/>
            <rFont val="Tahoma"/>
            <family val="0"/>
          </rPr>
          <t>Steven:</t>
        </r>
        <r>
          <rPr>
            <sz val="8"/>
            <rFont val="Tahoma"/>
            <family val="0"/>
          </rPr>
          <t xml:space="preserve">
An average of values found on the web gave a value of .4344</t>
        </r>
      </text>
    </comment>
    <comment ref="E21" authorId="0">
      <text>
        <r>
          <rPr>
            <b/>
            <sz val="8"/>
            <rFont val="Tahoma"/>
            <family val="0"/>
          </rPr>
          <t>Steven:</t>
        </r>
        <r>
          <rPr>
            <sz val="8"/>
            <rFont val="Tahoma"/>
            <family val="0"/>
          </rPr>
          <t xml:space="preserve">
In gaseous state, not liquid.</t>
        </r>
      </text>
    </comment>
    <comment ref="S20" authorId="0">
      <text>
        <r>
          <rPr>
            <b/>
            <sz val="8"/>
            <rFont val="Tahoma"/>
            <family val="0"/>
          </rPr>
          <t>Steven:</t>
        </r>
        <r>
          <rPr>
            <sz val="8"/>
            <rFont val="Tahoma"/>
            <family val="0"/>
          </rPr>
          <t xml:space="preserve">
Based on calculatioin below of methane-ethane-nitrogen mix</t>
        </r>
      </text>
    </comment>
    <comment ref="M27" authorId="0">
      <text>
        <r>
          <rPr>
            <b/>
            <sz val="8"/>
            <rFont val="Tahoma"/>
            <family val="0"/>
          </rPr>
          <t>Steven:</t>
        </r>
        <r>
          <rPr>
            <sz val="8"/>
            <rFont val="Tahoma"/>
            <family val="0"/>
          </rPr>
          <t xml:space="preserve">
HHV from #12, and ratio of LHV/HHV from old calcaultor</t>
        </r>
      </text>
    </comment>
    <comment ref="M28" authorId="0">
      <text>
        <r>
          <rPr>
            <b/>
            <sz val="8"/>
            <rFont val="Tahoma"/>
            <family val="0"/>
          </rPr>
          <t>Steven:</t>
        </r>
        <r>
          <rPr>
            <sz val="8"/>
            <rFont val="Tahoma"/>
            <family val="0"/>
          </rPr>
          <t xml:space="preserve">
Ratio of HHV to LHV is from Butane. This is a rough approximation.</t>
        </r>
      </text>
    </comment>
  </commentList>
</comments>
</file>

<file path=xl/comments5.xml><?xml version="1.0" encoding="utf-8"?>
<comments xmlns="http://schemas.openxmlformats.org/spreadsheetml/2006/main">
  <authors>
    <author>Steven</author>
  </authors>
  <commentList>
    <comment ref="E15" authorId="0">
      <text>
        <r>
          <rPr>
            <b/>
            <sz val="8"/>
            <rFont val="Tahoma"/>
            <family val="0"/>
          </rPr>
          <t>Steven:</t>
        </r>
        <r>
          <rPr>
            <sz val="8"/>
            <rFont val="Tahoma"/>
            <family val="0"/>
          </rPr>
          <t xml:space="preserve">
Table 1.7 says PG = 17% of oil, imports. There are almost no NG imports from PG.</t>
        </r>
      </text>
    </comment>
    <comment ref="C35" authorId="0">
      <text>
        <r>
          <rPr>
            <b/>
            <sz val="8"/>
            <rFont val="Tahoma"/>
            <family val="0"/>
          </rPr>
          <t>Steven:</t>
        </r>
        <r>
          <rPr>
            <sz val="8"/>
            <rFont val="Tahoma"/>
            <family val="0"/>
          </rPr>
          <t xml:space="preserve">
extraploted at growth rate measured by BP in 2002--04</t>
        </r>
      </text>
    </comment>
  </commentList>
</comments>
</file>

<file path=xl/sharedStrings.xml><?xml version="1.0" encoding="utf-8"?>
<sst xmlns="http://schemas.openxmlformats.org/spreadsheetml/2006/main" count="1250" uniqueCount="669">
  <si>
    <t>The energy needed to raise the temperagure of 1 gram of water 1 degree Centigrade.</t>
  </si>
  <si>
    <t>key</t>
  </si>
  <si>
    <t>programming</t>
  </si>
  <si>
    <t>MJ, mega joule(s)</t>
  </si>
  <si>
    <t>J, joule(s)</t>
  </si>
  <si>
    <t>Wh, watt-hour(s)</t>
  </si>
  <si>
    <t>thm, therm(s)</t>
  </si>
  <si>
    <t>BOE, barrel(s) of oil equivalent</t>
  </si>
  <si>
    <t>A BOE (also boe, bboe) is a "barrels of oil equivalent."</t>
  </si>
  <si>
    <t>Tonnes (metric tons) of coal equivalent.</t>
  </si>
  <si>
    <t>Tonnes (metric tons) of oil equivalent.</t>
  </si>
  <si>
    <t>One quadrillion (10&lt;sup&gt;15&lt;/sup&gt;) Btu.</t>
  </si>
  <si>
    <t>kcal, food calorie(s)</t>
  </si>
  <si>
    <t>cal, calorie(s)</t>
  </si>
  <si>
    <t>The energy required to raise 1 pound by 1 foot.</t>
  </si>
  <si>
    <t>A Btu (or BTU) is a British thermal unit, the energy needed to heat 1 pound of water 1 degree Fahrenheit.</t>
  </si>
  <si>
    <t>The energy need to heat 1 kilogram (2.2 pounds) of water 1 deg. C</t>
  </si>
  <si>
    <t>One million joules. (A joule is a watt-second, or 1/1055 Btu).</t>
  </si>
  <si>
    <t>The energy provided by a horse pulling a load for one hour.</t>
  </si>
  <si>
    <t>100,000 Btu (British thermal units).</t>
  </si>
  <si>
    <t>One. Multiplying by one has no affect.</t>
  </si>
  <si>
    <t>One quadrillion, 15 zeros.</t>
  </si>
  <si>
    <t>One quadrillion, 15 zeros. Used mainly with Btu. One "Quad" is short for 1 Quad Btu. (English version of the metric prefix peta (P).</t>
  </si>
  <si>
    <t>D, deka</t>
  </si>
  <si>
    <t>k, kilo</t>
  </si>
  <si>
    <t>M, mega</t>
  </si>
  <si>
    <t>G, giga</t>
  </si>
  <si>
    <t>T, tera</t>
  </si>
  <si>
    <t>P, peta</t>
  </si>
  <si>
    <t>E, exa</t>
  </si>
  <si>
    <t>y</t>
  </si>
  <si>
    <t>z</t>
  </si>
  <si>
    <t>a</t>
  </si>
  <si>
    <t>f</t>
  </si>
  <si>
    <t>p</t>
  </si>
  <si>
    <t>n</t>
  </si>
  <si>
    <t>mu</t>
  </si>
  <si>
    <t>c</t>
  </si>
  <si>
    <t>d</t>
  </si>
  <si>
    <t>h</t>
  </si>
  <si>
    <t>Z</t>
  </si>
  <si>
    <t>Y</t>
  </si>
  <si>
    <t>m</t>
  </si>
  <si>
    <t>kg, kilogram(s)</t>
  </si>
  <si>
    <t>lb, pound(s)</t>
  </si>
  <si>
    <t xml:space="preserve">GJ/ton </t>
  </si>
  <si>
    <t>Copy of Energy Unit</t>
  </si>
  <si>
    <t>GJ</t>
  </si>
  <si>
    <t>array</t>
  </si>
  <si>
    <t>Data for Calculator arrays</t>
  </si>
  <si>
    <t>Preparation Area</t>
  </si>
  <si>
    <t>Mton</t>
  </si>
  <si>
    <t>Megatons (Mton or Mt) are used for measuring yieds of A- and H-bombs, e.g. a 1 megaton bomb.</t>
  </si>
  <si>
    <t>Old calculator values, not documented (also called Calc1)</t>
  </si>
  <si>
    <t>Deisel, No. 2</t>
  </si>
  <si>
    <t>Additional information,</t>
  </si>
  <si>
    <t>DOE's Inernational Energy Outlook 2005</t>
  </si>
  <si>
    <t>Value</t>
  </si>
  <si>
    <t>PHP</t>
  </si>
  <si>
    <t>ton</t>
  </si>
  <si>
    <t>long-ton</t>
  </si>
  <si>
    <t>gal-us</t>
  </si>
  <si>
    <t>m3</t>
  </si>
  <si>
    <t>gal-uk</t>
  </si>
  <si>
    <t>fl-oz-us</t>
  </si>
  <si>
    <t>fl-oz-uk</t>
  </si>
  <si>
    <t>jig</t>
  </si>
  <si>
    <t>copy key</t>
  </si>
  <si>
    <t>tn, ton(s)</t>
  </si>
  <si>
    <t>tn, long-ton(s)</t>
  </si>
  <si>
    <t>g, gram(s)</t>
  </si>
  <si>
    <t>t, tonne(s)</t>
  </si>
  <si>
    <t>oz, ounce(s)</t>
  </si>
  <si>
    <t>avoirdupois ounce (avdp oz), 1/16 pound.</t>
  </si>
  <si>
    <t>2400 pounds. Imperial ton.</t>
  </si>
  <si>
    <t>2000 pounds, short ton.</t>
  </si>
  <si>
    <t>gal, gallon(s)</t>
  </si>
  <si>
    <t>bbl, barrel(s)</t>
  </si>
  <si>
    <t>cf, cubic foot</t>
  </si>
  <si>
    <t>fluid ounce(s) US</t>
  </si>
  <si>
    <t>gal, gallon(s)-UK</t>
  </si>
  <si>
    <t>fluid ounce(s) UK</t>
  </si>
  <si>
    <t>cord(s) of wood</t>
  </si>
  <si>
    <t>jigger(s)</t>
  </si>
  <si>
    <t>42 american gallons. This is the international oil barrel (bbl or bo). Commerical barrels in the US are officially 31.5 gallons, though beer barrels are usually 31 gallons, and there are many other variations.</t>
  </si>
  <si>
    <t>Roughly 7.5 gallons.</t>
  </si>
  <si>
    <t>1000 cubic cm. Roughly a 4 inch cube.</t>
  </si>
  <si>
    <t>31% more than a cubic yard.</t>
  </si>
  <si>
    <t>Brittish gallon, larger than a US gallon.</t>
  </si>
  <si>
    <t>There are 32 US fluid ounces in a US quart.</t>
  </si>
  <si>
    <t>There are 20 imperial ounces in an imperial pint.</t>
  </si>
  <si>
    <t>ft-lb, foot-pound(s)</t>
  </si>
  <si>
    <t>hp hr, horsepower hours(s)</t>
  </si>
  <si>
    <t>Btu, British thermal unit(s)</t>
  </si>
  <si>
    <t>TCE, tonne(s) of coal equivalent</t>
  </si>
  <si>
    <t>TOE, tonne(s) of oil equivalent</t>
  </si>
  <si>
    <t>Quad, quadrillion Btu</t>
  </si>
  <si>
    <t>Mton, megaton(s)</t>
  </si>
  <si>
    <t xml:space="preserve">Quad, quadrillion </t>
  </si>
  <si>
    <t xml:space="preserve">MM, million </t>
  </si>
  <si>
    <t xml:space="preserve">One million (6 zeros). Not used with electricity or in the metric system. MM was meant to indicate one thousand thousand, M being the Roman numeral 1000. However, MM actually means 2000, not one million, in Roman numeration. Still used in some traditional units such as MMBtu and MMb (million barrels of oil). </t>
  </si>
  <si>
    <t>m&lt;sup&gt;3&lt;/sup&gt;, cubic meter(s)</t>
  </si>
  <si>
    <t>l, liter(s)</t>
  </si>
  <si>
    <t>usElec</t>
  </si>
  <si>
    <t>usPrimeEl</t>
  </si>
  <si>
    <t>Trillion Btu</t>
  </si>
  <si>
    <t>Electricity-year (US)</t>
  </si>
  <si>
    <t>Billion kWh</t>
  </si>
  <si>
    <t>#19, p97</t>
  </si>
  <si>
    <t>Total energy in electricity generated (plus net imports) in the US during 2005. Includes losses (about 6%). It takes almost 3 times this much energy to generate this electricity.</t>
  </si>
  <si>
    <t>#19, p35</t>
  </si>
  <si>
    <t>Total primary energy used to generate the electricity consumed in the US in 2005. Nuclear, renewable generation and net imports are assumed to be 100% efficient. That is, a hydro generator that produces a kWh is assumed to use 1 kWh of primary energy. Inefficiency is tracked only for compustable fuels, which account for 70% of primary energy.</t>
  </si>
  <si>
    <t>usF4Elec</t>
  </si>
  <si>
    <t>Fossil-for-electricity, 1 US-year</t>
  </si>
  <si>
    <t>Energy-for-electricity, 1 US-year</t>
  </si>
  <si>
    <t>Total fossil energy used in generating electricity in the US durring 2005.</t>
  </si>
  <si>
    <t>Fossil-consumption-year (US)</t>
  </si>
  <si>
    <t xml:space="preserve">Average energy content of conventional gasoline (no ethanol etc.). Still reported by DOE in Table A1 (ref. #1), this is the value they used for U.S. gasoline up until 1994, when it was replaced by a weighted average of gasoline components, that varies annually. "Gasolne, US 2005" is the 2005 value of "conventional gasoline." </t>
  </si>
  <si>
    <t>Handbook of Chem Physics, 33rd edition, 1951-1952</t>
  </si>
  <si>
    <t>nuke</t>
  </si>
  <si>
    <t>N-yr, Nuclear-plant-year equivalent</t>
  </si>
  <si>
    <t>The output of one roughly typical (1+ GW) nuclear plant for one year. Defined as 1GW for 8760 hours. This is a bit on the high side, but justified by the simplicity of the definition.</t>
  </si>
  <si>
    <t>Total US energy consumption during 2005. This is primary energy consumption. Hence 100 MWh of electricity produced by burning coal is counted as roughly 300 MWh of primary energy--the energy in the coal used to generate it, and the 100 MWh of electricity is not counted.</t>
  </si>
  <si>
    <t>One watt for one hour. The energy needed to light one 60 watt light bulb for one minute.</t>
  </si>
  <si>
    <t>Fuel</t>
  </si>
  <si>
    <t>Energy</t>
  </si>
  <si>
    <t>Type</t>
  </si>
  <si>
    <t>lb</t>
  </si>
  <si>
    <t>oz</t>
  </si>
  <si>
    <t>Btu</t>
  </si>
  <si>
    <t>cal</t>
  </si>
  <si>
    <t>British thermal unit</t>
  </si>
  <si>
    <t>liters</t>
  </si>
  <si>
    <t>m^3</t>
  </si>
  <si>
    <t>J</t>
  </si>
  <si>
    <t>yotta</t>
  </si>
  <si>
    <t>zetta</t>
  </si>
  <si>
    <t>exa</t>
  </si>
  <si>
    <t>peta</t>
  </si>
  <si>
    <t>tera</t>
  </si>
  <si>
    <t>giga</t>
  </si>
  <si>
    <t>mega</t>
  </si>
  <si>
    <t>kilo</t>
  </si>
  <si>
    <t>hecto</t>
  </si>
  <si>
    <t>deca</t>
  </si>
  <si>
    <t>deci</t>
  </si>
  <si>
    <t>centi</t>
  </si>
  <si>
    <t>mili</t>
  </si>
  <si>
    <t>micro</t>
  </si>
  <si>
    <t>nano</t>
  </si>
  <si>
    <t>pico</t>
  </si>
  <si>
    <t>femto</t>
  </si>
  <si>
    <t>atto</t>
  </si>
  <si>
    <t>zepto</t>
  </si>
  <si>
    <t>yocto</t>
  </si>
  <si>
    <t>kg</t>
  </si>
  <si>
    <t>g</t>
  </si>
  <si>
    <t>cord</t>
  </si>
  <si>
    <t>Wh</t>
  </si>
  <si>
    <t>Units</t>
  </si>
  <si>
    <t>Sources:</t>
  </si>
  <si>
    <t>http://tonto.eia.doe.gov/FTPROOT/monthlyhistory.htm</t>
  </si>
  <si>
    <t>Monthy Energy Review Appendix A: Thermal Conversion Factors</t>
  </si>
  <si>
    <t>Monthy Energy Review Appendix B. Metric and Other Physical Conversion Factors</t>
  </si>
  <si>
    <t>Energy Statistics Manual, IEA, Annex 3</t>
  </si>
  <si>
    <t>DOE A</t>
  </si>
  <si>
    <t>DOE B</t>
  </si>
  <si>
    <t>IEA 3</t>
  </si>
  <si>
    <t>http://www.spe.org/spe/jsp/basic/0,,1104_1732,00.html</t>
  </si>
  <si>
    <t>Society of Petroleum Engineers, Conversion Factors</t>
  </si>
  <si>
    <t>http://www.iea.org/dbtw-wpd/Textbase/stats/unit.asp</t>
  </si>
  <si>
    <t>IEA Unit Converter</t>
  </si>
  <si>
    <t>http://www.iea.org/Textbase/publications/free_new_Desc.asp?PUBS_ID=1461</t>
  </si>
  <si>
    <t>SPE</t>
  </si>
  <si>
    <t>IEA UC</t>
  </si>
  <si>
    <t>bbl</t>
  </si>
  <si>
    <t>Cal</t>
  </si>
  <si>
    <t>ft-lb</t>
  </si>
  <si>
    <t>kCal</t>
  </si>
  <si>
    <t>hp-hr</t>
  </si>
  <si>
    <t>therm</t>
  </si>
  <si>
    <t>BOE</t>
  </si>
  <si>
    <t>TCE</t>
  </si>
  <si>
    <t>TOE</t>
  </si>
  <si>
    <t>Quad</t>
  </si>
  <si>
    <t>Barrels of oil equivalent</t>
  </si>
  <si>
    <t>horsepower-hours</t>
  </si>
  <si>
    <t>DOA-B1</t>
  </si>
  <si>
    <t>Source</t>
  </si>
  <si>
    <t>-----</t>
  </si>
  <si>
    <t>Def.</t>
  </si>
  <si>
    <t>Def. &amp; Cal</t>
  </si>
  <si>
    <t>IEA 3, p.179</t>
  </si>
  <si>
    <t>http://www.physics.uci.edu/~silverma/units.html</t>
  </si>
  <si>
    <t>W</t>
  </si>
  <si>
    <t>Power</t>
  </si>
  <si>
    <t>hp</t>
  </si>
  <si>
    <t>horsepower</t>
  </si>
  <si>
    <t>Watt</t>
  </si>
  <si>
    <t>Def. &amp; hp</t>
  </si>
  <si>
    <t>ft^3 NG</t>
  </si>
  <si>
    <t>http://www.grantprideco.com/engineering/converter/#</t>
  </si>
  <si>
    <t>GrantPrideco, Engineering Converter (recommended by SPE)</t>
  </si>
  <si>
    <t>GP</t>
  </si>
  <si>
    <t>Joules</t>
  </si>
  <si>
    <t>wikipedia</t>
  </si>
  <si>
    <t>U of N. Carolina, Chapel Hill</t>
  </si>
  <si>
    <t>NC</t>
  </si>
  <si>
    <t>GP &amp; NC</t>
  </si>
  <si>
    <t>Weight</t>
  </si>
  <si>
    <t>kilograms</t>
  </si>
  <si>
    <t>Tonne of coal equivalent</t>
  </si>
  <si>
    <t>Tonne of oil equivalent</t>
  </si>
  <si>
    <t>tonne</t>
  </si>
  <si>
    <t>Volume</t>
  </si>
  <si>
    <t>l</t>
  </si>
  <si>
    <t>fl oz US</t>
  </si>
  <si>
    <t>cf</t>
  </si>
  <si>
    <t>gal US</t>
  </si>
  <si>
    <t>DOE B3, p.171</t>
  </si>
  <si>
    <t>DOE B1, p.170</t>
  </si>
  <si>
    <t>def.</t>
  </si>
  <si>
    <t>------</t>
  </si>
  <si>
    <t>-------</t>
  </si>
  <si>
    <t>DOE B1, p.170, NC</t>
  </si>
  <si>
    <t>DOE B2, p.171</t>
  </si>
  <si>
    <t xml:space="preserve"> </t>
  </si>
  <si>
    <t>Residential fuel</t>
  </si>
  <si>
    <t>Conventional</t>
  </si>
  <si>
    <t>US mix 2005</t>
  </si>
  <si>
    <t>Reformulated/Oxygenated</t>
  </si>
  <si>
    <t>Aviation</t>
  </si>
  <si>
    <t>O</t>
  </si>
  <si>
    <t>G</t>
  </si>
  <si>
    <t>FE</t>
  </si>
  <si>
    <t>BD</t>
  </si>
  <si>
    <t>Natural gas</t>
  </si>
  <si>
    <t>Butane</t>
  </si>
  <si>
    <t>Ethane</t>
  </si>
  <si>
    <t>Propane</t>
  </si>
  <si>
    <t>Hydrogen</t>
  </si>
  <si>
    <t>Butter</t>
  </si>
  <si>
    <t>Whisky</t>
  </si>
  <si>
    <t>TNT</t>
  </si>
  <si>
    <t>Consumed in US 2005</t>
  </si>
  <si>
    <t>density</t>
  </si>
  <si>
    <t>value</t>
  </si>
  <si>
    <t>Methane</t>
  </si>
  <si>
    <t>LNG</t>
  </si>
  <si>
    <t>1 Ncm = 1.055 Scm</t>
  </si>
  <si>
    <t>For gasses</t>
  </si>
  <si>
    <t>Norway</t>
  </si>
  <si>
    <t>HH value = Gross Calorific Value</t>
  </si>
  <si>
    <t>LH value = Net Calorific Value</t>
  </si>
  <si>
    <t>LH = .9 x HH for natural gas</t>
  </si>
  <si>
    <t>DOE E1</t>
  </si>
  <si>
    <t>Internat. Petroleum Monthly, App E1. Refined Petroleum Products Conversion Factors</t>
  </si>
  <si>
    <t>*1 Scm (S-m3) measured at 15°C and 760 mm Hg.</t>
  </si>
  <si>
    <t>**1 Ncm (N-m3) measured at 0°C and 760 mm Hg.</t>
  </si>
  <si>
    <t>LHV</t>
  </si>
  <si>
    <t>HHV</t>
  </si>
  <si>
    <t>Bio-diesel</t>
  </si>
  <si>
    <t>http://www.biodiesel.org/pdf_files/fuelfactsheets/BTU_Content_Final_Oct2005.pdf</t>
  </si>
  <si>
    <t>Biodesel site</t>
  </si>
  <si>
    <t>#1</t>
  </si>
  <si>
    <t>Energy by Volume</t>
  </si>
  <si>
    <t>Energy by Weight</t>
  </si>
  <si>
    <t>MBtu / bbl</t>
  </si>
  <si>
    <t>Btu / gal</t>
  </si>
  <si>
    <t>Btu / cf</t>
  </si>
  <si>
    <t>MJ / m3 (S)</t>
  </si>
  <si>
    <t>MBtu / s-tn</t>
  </si>
  <si>
    <t>GJ / tonne</t>
  </si>
  <si>
    <t>MJ / kg</t>
  </si>
  <si>
    <t>g / ml</t>
  </si>
  <si>
    <t>#2</t>
  </si>
  <si>
    <t>#3</t>
  </si>
  <si>
    <t>#4</t>
  </si>
  <si>
    <t>#5</t>
  </si>
  <si>
    <t>#6</t>
  </si>
  <si>
    <t>#7</t>
  </si>
  <si>
    <t>#8</t>
  </si>
  <si>
    <t>#9</t>
  </si>
  <si>
    <t>#1-A1</t>
  </si>
  <si>
    <t>#1-A3</t>
  </si>
  <si>
    <t>#1-A4</t>
  </si>
  <si>
    <t>#4-182</t>
  </si>
  <si>
    <t>#1-A5</t>
  </si>
  <si>
    <t>#4-A3.8</t>
  </si>
  <si>
    <t>kg / m3</t>
  </si>
  <si>
    <t>bbl / t</t>
  </si>
  <si>
    <t>Density</t>
  </si>
  <si>
    <t>kg / l</t>
  </si>
  <si>
    <t>Unknown source</t>
  </si>
  <si>
    <t>http://www.eia.doe.gov/emeu/ipsr/appe1.txt</t>
  </si>
  <si>
    <t>#1 &amp; #6</t>
  </si>
  <si>
    <t>http://astro.berkeley.edu/~wright/fuel_energy.html</t>
  </si>
  <si>
    <t>http://www.cngcorp.com/customer_sales_service/fuel_cost_charts.html</t>
  </si>
  <si>
    <t>http://unstats.un.org/unsd/energy/balance/conversion.htm</t>
  </si>
  <si>
    <t>#10</t>
  </si>
  <si>
    <t>#10 (UN tradional)</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</si>
  <si>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</si>
  <si>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</si>
  <si>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</si>
  <si>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</si>
  <si>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</si>
  <si>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</si>
  <si>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</si>
  <si>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</si>
  <si>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</si>
  <si>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</si>
  <si>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</si>
  <si>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</si>
  <si>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</si>
  <si>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</si>
  <si>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</si>
  <si>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</si>
  <si>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</si>
  <si>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</si>
  <si>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</si>
  <si>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</si>
  <si>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X Variable 1</t>
  </si>
  <si>
    <t xml:space="preserve"> 49.6  </t>
  </si>
  <si>
    <t xml:space="preserve"> aviation  </t>
  </si>
  <si>
    <t xml:space="preserve"> 1412  </t>
  </si>
  <si>
    <t xml:space="preserve"> automotive  </t>
  </si>
  <si>
    <t xml:space="preserve"> 1360  </t>
  </si>
  <si>
    <t xml:space="preserve"> 46.4  </t>
  </si>
  <si>
    <t xml:space="preserve"> power turbine fuel  </t>
  </si>
  <si>
    <t xml:space="preserve"> 1230  </t>
  </si>
  <si>
    <t xml:space="preserve"> 46.1  </t>
  </si>
  <si>
    <t xml:space="preserve"> lighting  </t>
  </si>
  <si>
    <t xml:space="preserve"> 1261  </t>
  </si>
  <si>
    <r>
      <t xml:space="preserve"> </t>
    </r>
    <r>
      <rPr>
        <b/>
        <sz val="10"/>
        <rFont val="Arial"/>
        <family val="0"/>
      </rPr>
      <t xml:space="preserve">Litre/Tonne </t>
    </r>
    <r>
      <rPr>
        <sz val="10"/>
        <rFont val="Arial"/>
        <family val="0"/>
      </rPr>
      <t xml:space="preserve"> </t>
    </r>
  </si>
  <si>
    <r>
      <t xml:space="preserve"> </t>
    </r>
    <r>
      <rPr>
        <b/>
        <sz val="10"/>
        <rFont val="Arial"/>
        <family val="0"/>
      </rPr>
      <t xml:space="preserve">GJ/tonne </t>
    </r>
    <r>
      <rPr>
        <sz val="10"/>
        <rFont val="Arial"/>
        <family val="0"/>
      </rPr>
      <t xml:space="preserve"> </t>
    </r>
  </si>
  <si>
    <r>
      <t xml:space="preserve"> </t>
    </r>
    <r>
      <rPr>
        <b/>
        <sz val="10"/>
        <rFont val="Arial"/>
        <family val="0"/>
      </rPr>
      <t xml:space="preserve">MJ / litre </t>
    </r>
    <r>
      <rPr>
        <sz val="10"/>
        <rFont val="Arial"/>
        <family val="0"/>
      </rPr>
      <t xml:space="preserve"> </t>
    </r>
  </si>
  <si>
    <t>kg / liter</t>
  </si>
  <si>
    <t>gasoline</t>
  </si>
  <si>
    <t>kerosene</t>
  </si>
  <si>
    <t>http://www.ior.com.au/ecflist.html</t>
  </si>
  <si>
    <t>Density = .0023 x MJ/L -0.0536</t>
  </si>
  <si>
    <t>R2 = 99%</t>
  </si>
  <si>
    <t>(E / V) x (J / E) /  (L / V) = J / L</t>
  </si>
  <si>
    <t>(E / W) x (J / E) / (kg / W) = J / kg</t>
  </si>
  <si>
    <t xml:space="preserve"> Joules / Liter</t>
  </si>
  <si>
    <t>LHv</t>
  </si>
  <si>
    <t xml:space="preserve"> Joules / kilogram</t>
  </si>
  <si>
    <t>Regression of kg/Liter on MJ/Liter</t>
  </si>
  <si>
    <t>Predicted</t>
  </si>
  <si>
    <t>error</t>
  </si>
  <si>
    <t>#11</t>
  </si>
  <si>
    <t>IOR-Energy-engineering-conversion-factors.pdf</t>
  </si>
  <si>
    <t>IOR</t>
  </si>
  <si>
    <t>Gross heat content rates</t>
  </si>
  <si>
    <t>are applied in all Btu calculations for the Monthly Energy</t>
  </si>
  <si>
    <t>Review and are commonly used in energy calculations in</t>
  </si>
  <si>
    <t>the United States; net (or lower) heat content rates are</t>
  </si>
  <si>
    <t>typically used in European energy calculations. The difference</t>
  </si>
  <si>
    <t>between the two rates is the amount of energy that is</t>
  </si>
  <si>
    <t>consumed to vaporize water that is created during the</t>
  </si>
  <si>
    <t>combustion process. Generally, the difference ranges from</t>
  </si>
  <si>
    <t>2 percent to 10 percent, depending on the specific fuel and</t>
  </si>
  <si>
    <t>its hydrogen content. Some fuels, such as unseasoned</t>
  </si>
  <si>
    <t>wood, can be more than 40 percent different in their gross</t>
  </si>
  <si>
    <t>and net heat content rates.</t>
  </si>
  <si>
    <t>From DOE Appendix A. High (Gross) vs. Low (Net) Heating Values</t>
  </si>
  <si>
    <t>calced</t>
  </si>
  <si>
    <t>predict</t>
  </si>
  <si>
    <t>Values used in Calculator</t>
  </si>
  <si>
    <t>MJ / liter</t>
  </si>
  <si>
    <t>sp. gr.</t>
  </si>
  <si>
    <t>Gasoline, conventional</t>
  </si>
  <si>
    <t>Gasloline, aviation</t>
  </si>
  <si>
    <t>source</t>
  </si>
  <si>
    <t>HHL</t>
  </si>
  <si>
    <t>calc1</t>
  </si>
  <si>
    <t>#1, calc1</t>
  </si>
  <si>
    <t>Kerosene</t>
  </si>
  <si>
    <t>DOE standard crude</t>
  </si>
  <si>
    <t>US imports 2005</t>
  </si>
  <si>
    <t>http://www.eppo.go.th/ref/UNIT-OIL.html</t>
  </si>
  <si>
    <t>API gravity = (141.5/specific gravity at 60 degrees F) – 131.5.</t>
  </si>
  <si>
    <t>Brent API = 37.5</t>
  </si>
  <si>
    <t>light crude oil Has an API gravity higher than 33 degrees. The higher the API gravity, the lighter the crude oil.</t>
  </si>
  <si>
    <r>
      <t xml:space="preserve"> </t>
    </r>
    <r>
      <rPr>
        <b/>
        <sz val="12"/>
        <color indexed="8"/>
        <rFont val="Arial"/>
        <family val="0"/>
      </rPr>
      <t>Fuel</t>
    </r>
    <r>
      <rPr>
        <sz val="10"/>
        <rFont val="Arial"/>
        <family val="0"/>
      </rPr>
      <t xml:space="preserve"> </t>
    </r>
  </si>
  <si>
    <r>
      <t xml:space="preserve"> </t>
    </r>
    <r>
      <rPr>
        <b/>
        <sz val="9"/>
        <color indexed="18"/>
        <rFont val="Arial"/>
        <family val="0"/>
      </rPr>
      <t>LPG</t>
    </r>
    <r>
      <rPr>
        <sz val="10"/>
        <rFont val="Arial"/>
        <family val="0"/>
      </rPr>
      <t xml:space="preserve"> </t>
    </r>
  </si>
  <si>
    <r>
      <t xml:space="preserve"> </t>
    </r>
    <r>
      <rPr>
        <b/>
        <sz val="9"/>
        <color indexed="18"/>
        <rFont val="Arial"/>
        <family val="0"/>
      </rPr>
      <t>Propane</t>
    </r>
    <r>
      <rPr>
        <sz val="10"/>
        <rFont val="Arial"/>
        <family val="0"/>
      </rPr>
      <t xml:space="preserve"> </t>
    </r>
  </si>
  <si>
    <r>
      <t xml:space="preserve"> </t>
    </r>
    <r>
      <rPr>
        <b/>
        <sz val="9"/>
        <color indexed="18"/>
        <rFont val="Arial"/>
        <family val="0"/>
      </rPr>
      <t>butane</t>
    </r>
    <r>
      <rPr>
        <sz val="10"/>
        <rFont val="Arial"/>
        <family val="0"/>
      </rPr>
      <t xml:space="preserve"> </t>
    </r>
  </si>
  <si>
    <r>
      <t xml:space="preserve"> </t>
    </r>
    <r>
      <rPr>
        <b/>
        <sz val="9"/>
        <color indexed="18"/>
        <rFont val="Arial"/>
        <family val="0"/>
      </rPr>
      <t>Nat. Gasoline</t>
    </r>
    <r>
      <rPr>
        <sz val="10"/>
        <rFont val="Arial"/>
        <family val="0"/>
      </rPr>
      <t xml:space="preserve"> </t>
    </r>
  </si>
  <si>
    <r>
      <t xml:space="preserve"> </t>
    </r>
    <r>
      <rPr>
        <b/>
        <sz val="9"/>
        <color indexed="18"/>
        <rFont val="Arial"/>
        <family val="0"/>
      </rPr>
      <t>Avgas</t>
    </r>
    <r>
      <rPr>
        <sz val="10"/>
        <rFont val="Arial"/>
        <family val="0"/>
      </rPr>
      <t xml:space="preserve"> </t>
    </r>
  </si>
  <si>
    <r>
      <t xml:space="preserve"> </t>
    </r>
    <r>
      <rPr>
        <b/>
        <sz val="9"/>
        <color indexed="18"/>
        <rFont val="Arial"/>
        <family val="0"/>
      </rPr>
      <t>Mogas</t>
    </r>
    <r>
      <rPr>
        <sz val="10"/>
        <rFont val="Arial"/>
        <family val="0"/>
      </rPr>
      <t xml:space="preserve"> </t>
    </r>
  </si>
  <si>
    <r>
      <t xml:space="preserve"> </t>
    </r>
    <r>
      <rPr>
        <b/>
        <sz val="9"/>
        <color indexed="18"/>
        <rFont val="Arial"/>
        <family val="0"/>
      </rPr>
      <t>Jet fuel (gaso)</t>
    </r>
    <r>
      <rPr>
        <sz val="10"/>
        <rFont val="Arial"/>
        <family val="0"/>
      </rPr>
      <t xml:space="preserve"> </t>
    </r>
  </si>
  <si>
    <r>
      <t xml:space="preserve"> </t>
    </r>
    <r>
      <rPr>
        <b/>
        <sz val="9"/>
        <color indexed="18"/>
        <rFont val="Arial"/>
        <family val="0"/>
      </rPr>
      <t>Naphtha</t>
    </r>
    <r>
      <rPr>
        <sz val="10"/>
        <rFont val="Arial"/>
        <family val="0"/>
      </rPr>
      <t xml:space="preserve"> </t>
    </r>
  </si>
  <si>
    <r>
      <t xml:space="preserve"> </t>
    </r>
    <r>
      <rPr>
        <b/>
        <sz val="9"/>
        <color indexed="18"/>
        <rFont val="Arial"/>
        <family val="0"/>
      </rPr>
      <t>Kerosene</t>
    </r>
    <r>
      <rPr>
        <sz val="10"/>
        <rFont val="Arial"/>
        <family val="0"/>
      </rPr>
      <t xml:space="preserve"> </t>
    </r>
  </si>
  <si>
    <r>
      <t xml:space="preserve"> </t>
    </r>
    <r>
      <rPr>
        <b/>
        <sz val="9"/>
        <color indexed="18"/>
        <rFont val="Arial"/>
        <family val="0"/>
      </rPr>
      <t>Jet fuel (Kero)</t>
    </r>
    <r>
      <rPr>
        <sz val="10"/>
        <rFont val="Arial"/>
        <family val="0"/>
      </rPr>
      <t xml:space="preserve"> </t>
    </r>
  </si>
  <si>
    <r>
      <t xml:space="preserve"> </t>
    </r>
    <r>
      <rPr>
        <b/>
        <sz val="9"/>
        <color indexed="18"/>
        <rFont val="Arial"/>
        <family val="0"/>
      </rPr>
      <t>Dist fuel oil</t>
    </r>
    <r>
      <rPr>
        <sz val="10"/>
        <rFont val="Arial"/>
        <family val="0"/>
      </rPr>
      <t xml:space="preserve"> </t>
    </r>
  </si>
  <si>
    <r>
      <t xml:space="preserve"> </t>
    </r>
    <r>
      <rPr>
        <b/>
        <sz val="9"/>
        <color indexed="18"/>
        <rFont val="Arial"/>
        <family val="0"/>
      </rPr>
      <t>Heating oil</t>
    </r>
    <r>
      <rPr>
        <sz val="10"/>
        <rFont val="Arial"/>
        <family val="0"/>
      </rPr>
      <t xml:space="preserve"> </t>
    </r>
  </si>
  <si>
    <r>
      <t xml:space="preserve"> </t>
    </r>
    <r>
      <rPr>
        <b/>
        <sz val="9"/>
        <color indexed="18"/>
        <rFont val="Arial"/>
        <family val="0"/>
      </rPr>
      <t>Road diesel</t>
    </r>
    <r>
      <rPr>
        <sz val="10"/>
        <rFont val="Arial"/>
        <family val="0"/>
      </rPr>
      <t xml:space="preserve"> </t>
    </r>
  </si>
  <si>
    <r>
      <t xml:space="preserve"> </t>
    </r>
    <r>
      <rPr>
        <b/>
        <sz val="9"/>
        <color indexed="18"/>
        <rFont val="Arial"/>
        <family val="0"/>
      </rPr>
      <t>Indust. Diesel</t>
    </r>
    <r>
      <rPr>
        <sz val="10"/>
        <rFont val="Arial"/>
        <family val="0"/>
      </rPr>
      <t xml:space="preserve"> </t>
    </r>
  </si>
  <si>
    <r>
      <t xml:space="preserve"> </t>
    </r>
    <r>
      <rPr>
        <b/>
        <sz val="9"/>
        <color indexed="18"/>
        <rFont val="Arial"/>
        <family val="0"/>
      </rPr>
      <t>Fuel oil (equiv)</t>
    </r>
    <r>
      <rPr>
        <sz val="10"/>
        <rFont val="Arial"/>
        <family val="0"/>
      </rPr>
      <t xml:space="preserve"> </t>
    </r>
  </si>
  <si>
    <r>
      <t xml:space="preserve"> </t>
    </r>
    <r>
      <rPr>
        <b/>
        <sz val="9"/>
        <color indexed="18"/>
        <rFont val="Arial"/>
        <family val="0"/>
      </rPr>
      <t>Resid.fuel oil.</t>
    </r>
    <r>
      <rPr>
        <sz val="10"/>
        <rFont val="Arial"/>
        <family val="0"/>
      </rPr>
      <t xml:space="preserve"> </t>
    </r>
  </si>
  <si>
    <r>
      <t xml:space="preserve"> </t>
    </r>
    <r>
      <rPr>
        <b/>
        <sz val="9"/>
        <color indexed="18"/>
        <rFont val="Arial"/>
        <family val="0"/>
      </rPr>
      <t>Light</t>
    </r>
    <r>
      <rPr>
        <sz val="10"/>
        <rFont val="Arial"/>
        <family val="0"/>
      </rPr>
      <t xml:space="preserve"> </t>
    </r>
  </si>
  <si>
    <r>
      <t xml:space="preserve"> </t>
    </r>
    <r>
      <rPr>
        <b/>
        <sz val="9"/>
        <color indexed="18"/>
        <rFont val="Arial"/>
        <family val="0"/>
      </rPr>
      <t>Heavy</t>
    </r>
    <r>
      <rPr>
        <sz val="10"/>
        <rFont val="Arial"/>
        <family val="0"/>
      </rPr>
      <t xml:space="preserve"> </t>
    </r>
  </si>
  <si>
    <r>
      <t xml:space="preserve"> </t>
    </r>
    <r>
      <rPr>
        <b/>
        <sz val="9"/>
        <color indexed="18"/>
        <rFont val="Arial"/>
        <family val="0"/>
      </rPr>
      <t>Lubes</t>
    </r>
    <r>
      <rPr>
        <sz val="10"/>
        <rFont val="Arial"/>
        <family val="0"/>
      </rPr>
      <t xml:space="preserve"> </t>
    </r>
  </si>
  <si>
    <r>
      <t xml:space="preserve"> </t>
    </r>
    <r>
      <rPr>
        <b/>
        <sz val="9"/>
        <color indexed="18"/>
        <rFont val="Arial"/>
        <family val="0"/>
      </rPr>
      <t>Asphalt</t>
    </r>
    <r>
      <rPr>
        <sz val="10"/>
        <rFont val="Arial"/>
        <family val="0"/>
      </rPr>
      <t xml:space="preserve"> </t>
    </r>
  </si>
  <si>
    <r>
      <t xml:space="preserve"> </t>
    </r>
    <r>
      <rPr>
        <b/>
        <sz val="9"/>
        <color indexed="18"/>
        <rFont val="Arial"/>
        <family val="0"/>
      </rPr>
      <t xml:space="preserve">LNG </t>
    </r>
    <r>
      <rPr>
        <sz val="10"/>
        <rFont val="Arial"/>
        <family val="0"/>
      </rPr>
      <t xml:space="preserve"> </t>
    </r>
  </si>
  <si>
    <t>(Gross) MJ / liter</t>
  </si>
  <si>
    <t>(Gross) MJ / kg</t>
  </si>
  <si>
    <t>(Net)   MJ / liter</t>
  </si>
  <si>
    <t>(Net)   MJ / kg</t>
  </si>
  <si>
    <t>(MBtu/Bbl)(J/Btu)/(L/Bbl)/1e6 = MJ/L</t>
  </si>
  <si>
    <r>
      <t xml:space="preserve"> </t>
    </r>
    <r>
      <rPr>
        <b/>
        <sz val="9"/>
        <color indexed="8"/>
        <rFont val="Arial"/>
        <family val="0"/>
      </rPr>
      <t xml:space="preserve">Specific Gravity </t>
    </r>
    <r>
      <rPr>
        <sz val="9"/>
        <rFont val="Arial"/>
        <family val="0"/>
      </rPr>
      <t xml:space="preserve"> </t>
    </r>
  </si>
  <si>
    <r>
      <t xml:space="preserve"> </t>
    </r>
    <r>
      <rPr>
        <b/>
        <sz val="9"/>
        <color indexed="8"/>
        <rFont val="Arial"/>
        <family val="0"/>
      </rPr>
      <t xml:space="preserve">Degrees API </t>
    </r>
    <r>
      <rPr>
        <sz val="9"/>
        <rFont val="Arial"/>
        <family val="0"/>
      </rPr>
      <t xml:space="preserve"> </t>
    </r>
  </si>
  <si>
    <r>
      <t xml:space="preserve"> </t>
    </r>
    <r>
      <rPr>
        <b/>
        <sz val="9"/>
        <color indexed="8"/>
        <rFont val="Arial"/>
        <family val="0"/>
      </rPr>
      <t xml:space="preserve">BbIs/MT </t>
    </r>
    <r>
      <rPr>
        <sz val="9"/>
        <rFont val="Arial"/>
        <family val="0"/>
      </rPr>
      <t xml:space="preserve"> </t>
    </r>
  </si>
  <si>
    <r>
      <t xml:space="preserve"> </t>
    </r>
    <r>
      <rPr>
        <b/>
        <sz val="9"/>
        <color indexed="8"/>
        <rFont val="Arial"/>
        <family val="0"/>
      </rPr>
      <t xml:space="preserve">(Gross) Million BTUs/BbI </t>
    </r>
    <r>
      <rPr>
        <sz val="9"/>
        <rFont val="Arial"/>
        <family val="0"/>
      </rPr>
      <t xml:space="preserve"> </t>
    </r>
  </si>
  <si>
    <r>
      <t xml:space="preserve"> </t>
    </r>
    <r>
      <rPr>
        <b/>
        <sz val="9"/>
        <color indexed="8"/>
        <rFont val="Arial"/>
        <family val="0"/>
      </rPr>
      <t xml:space="preserve">(Net) Million BTUs/BbI </t>
    </r>
    <r>
      <rPr>
        <sz val="9"/>
        <rFont val="Arial"/>
        <family val="0"/>
      </rPr>
      <t xml:space="preserve"> </t>
    </r>
  </si>
  <si>
    <r>
      <t xml:space="preserve"> </t>
    </r>
    <r>
      <rPr>
        <b/>
        <sz val="9"/>
        <color indexed="8"/>
        <rFont val="Arial"/>
        <family val="0"/>
      </rPr>
      <t xml:space="preserve">(Net) Teracalories /Th/BbIs </t>
    </r>
    <r>
      <rPr>
        <sz val="9"/>
        <rFont val="Arial"/>
        <family val="0"/>
      </rPr>
      <t xml:space="preserve"> </t>
    </r>
  </si>
  <si>
    <r>
      <t xml:space="preserve"> </t>
    </r>
    <r>
      <rPr>
        <b/>
        <sz val="9"/>
        <color indexed="8"/>
        <rFont val="Arial"/>
        <family val="0"/>
      </rPr>
      <t xml:space="preserve">(Net) Terajoules /Th.BbIs. </t>
    </r>
    <r>
      <rPr>
        <sz val="9"/>
        <rFont val="Arial"/>
        <family val="0"/>
      </rPr>
      <t xml:space="preserve"> </t>
    </r>
  </si>
  <si>
    <r>
      <t xml:space="preserve"> </t>
    </r>
    <r>
      <rPr>
        <b/>
        <sz val="9"/>
        <color indexed="8"/>
        <rFont val="Arial"/>
        <family val="0"/>
      </rPr>
      <t xml:space="preserve">(Net) Million BTUs/MT </t>
    </r>
    <r>
      <rPr>
        <sz val="9"/>
        <rFont val="Arial"/>
        <family val="0"/>
      </rPr>
      <t xml:space="preserve"> </t>
    </r>
  </si>
  <si>
    <r>
      <t xml:space="preserve"> </t>
    </r>
    <r>
      <rPr>
        <b/>
        <sz val="9"/>
        <color indexed="8"/>
        <rFont val="Arial"/>
        <family val="0"/>
      </rPr>
      <t xml:space="preserve">(Net) Teracalories /Th.MT </t>
    </r>
    <r>
      <rPr>
        <sz val="9"/>
        <rFont val="Arial"/>
        <family val="0"/>
      </rPr>
      <t xml:space="preserve"> </t>
    </r>
  </si>
  <si>
    <r>
      <t xml:space="preserve"> </t>
    </r>
    <r>
      <rPr>
        <b/>
        <sz val="9"/>
        <color indexed="8"/>
        <rFont val="Arial"/>
        <family val="0"/>
      </rPr>
      <t xml:space="preserve">(Net) Terajoules /Th.Mt </t>
    </r>
    <r>
      <rPr>
        <sz val="9"/>
        <rFont val="Arial"/>
        <family val="0"/>
      </rPr>
      <t xml:space="preserve"> </t>
    </r>
  </si>
  <si>
    <t>Four regression predicting specific gravity</t>
  </si>
  <si>
    <t>Using a Gross/Net pair, either by kg or by liter,</t>
  </si>
  <si>
    <t>does not improve the prediction</t>
  </si>
  <si>
    <t>Per-liter data works best</t>
  </si>
  <si>
    <t>Net energy data is slightly better than gross</t>
  </si>
  <si>
    <t>This prediction does not work well for heavy oil</t>
  </si>
  <si>
    <t>http://www.gulfoilandgas.com/Webpro1/Oil/approxEnergyContent.asp</t>
  </si>
  <si>
    <t>Approximate Energy Content of selected Fuels.PDF</t>
  </si>
  <si>
    <t>#12</t>
  </si>
  <si>
    <t>See tab "Oil density"</t>
  </si>
  <si>
    <t>#12, #1</t>
  </si>
  <si>
    <t>calc1, #12, #1</t>
  </si>
  <si>
    <t>#12, #1, $40A3.8</t>
  </si>
  <si>
    <t>#1, #4-A3.8</t>
  </si>
  <si>
    <t>#1, #4-A3.8, #12</t>
  </si>
  <si>
    <t>#4, #3</t>
  </si>
  <si>
    <t>#1, #3, #4</t>
  </si>
  <si>
    <t>#1, #3</t>
  </si>
  <si>
    <t>Btu / lb</t>
  </si>
  <si>
    <t>#13</t>
  </si>
  <si>
    <t>http://tonto.eia.doe.gov/FTPROOT/alternativefuels/0585o.pdf</t>
  </si>
  <si>
    <t>DOE-1996-alternative-fuels.PDF</t>
  </si>
  <si>
    <t>#1,#13</t>
  </si>
  <si>
    <t>http://www.eere.doe.gov/afdc/progs/display_all_faq.cgi?afdc%7C0</t>
  </si>
  <si>
    <t>DOE GGE+Alternative fuel FAQ.PDF</t>
  </si>
  <si>
    <t>#14</t>
  </si>
  <si>
    <t>No. 2 Deisel</t>
  </si>
  <si>
    <t>#4, #13</t>
  </si>
  <si>
    <t>#9, #13</t>
  </si>
  <si>
    <t>kCal/g</t>
  </si>
  <si>
    <t>#15</t>
  </si>
  <si>
    <t>lb / cf</t>
  </si>
  <si>
    <t>#16</t>
  </si>
  <si>
    <t>http://www.localenergy.org/pdfs/Document%20Library/Bioenergy%20conversion%20factors.pdf</t>
  </si>
  <si>
    <t>Bioenergy conversion factors</t>
  </si>
  <si>
    <t>Natural gas Union</t>
  </si>
  <si>
    <t>MJ/m3</t>
  </si>
  <si>
    <t>meth</t>
  </si>
  <si>
    <t>eth</t>
  </si>
  <si>
    <t>nitrogen</t>
  </si>
  <si>
    <t>Estimation of specific gravity relative to air of US 2005 NG</t>
  </si>
  <si>
    <t>http://www.uniongas.com/aboutus/aboutng/composition.asp</t>
  </si>
  <si>
    <t>Natural Gas Composition</t>
  </si>
  <si>
    <t>#17</t>
  </si>
  <si>
    <t>Based on date from  #17</t>
  </si>
  <si>
    <t>air</t>
  </si>
  <si>
    <t>air =</t>
  </si>
  <si>
    <t>http://www.princeton.edu/~cmi/resources/Wedges/Gas%20baseload%20power%20for%20coal%20power8.16.pdf</t>
  </si>
  <si>
    <t>#18</t>
  </si>
  <si>
    <t>Princeton-LNG-dentisy.PDF</t>
  </si>
  <si>
    <t>#1,#16,#17</t>
  </si>
  <si>
    <t>above</t>
  </si>
  <si>
    <t>temp K = 273.15 + deg C</t>
  </si>
  <si>
    <t>PV = nRT</t>
  </si>
  <si>
    <t>density = mass/V = mass*P/nRT</t>
  </si>
  <si>
    <t>If density at 0C = 1</t>
  </si>
  <si>
    <t>then mass*P/nR = 273.15</t>
  </si>
  <si>
    <t>density = 273.15/ T</t>
  </si>
  <si>
    <t xml:space="preserve">density at 15C = 273.15/288.15 = </t>
  </si>
  <si>
    <t>g/l for H2 at 0C</t>
  </si>
  <si>
    <t>g/l for H2 at 15C</t>
  </si>
  <si>
    <t>specific gravity of H2 relative to air</t>
  </si>
  <si>
    <t>g/l for air at 1atmospher and 15C</t>
  </si>
  <si>
    <t>air at 15C</t>
  </si>
  <si>
    <t>1 atmosphere = 760 mm Hg</t>
  </si>
  <si>
    <t>#15 p.1779</t>
  </si>
  <si>
    <t>energy</t>
  </si>
  <si>
    <t>sp.gr to air</t>
  </si>
  <si>
    <t>MJ/kg</t>
  </si>
  <si>
    <t>#0</t>
  </si>
  <si>
    <t>Wood (oven dried)</t>
  </si>
  <si>
    <t>D</t>
  </si>
  <si>
    <t>C</t>
  </si>
  <si>
    <t>O-USim</t>
  </si>
  <si>
    <t>G-US</t>
  </si>
  <si>
    <t>G-Oxy</t>
  </si>
  <si>
    <t>G-avi</t>
  </si>
  <si>
    <t>G-jet</t>
  </si>
  <si>
    <t>Enol</t>
  </si>
  <si>
    <t>Mnol</t>
  </si>
  <si>
    <t>NG</t>
  </si>
  <si>
    <t>H2</t>
  </si>
  <si>
    <t>Meth</t>
  </si>
  <si>
    <t>Eth</t>
  </si>
  <si>
    <t>Prop</t>
  </si>
  <si>
    <t>But</t>
  </si>
  <si>
    <t>Btr</t>
  </si>
  <si>
    <t>$fuels[] = array( 'D', 'deisel', 0.8439, 'hydrocarbons', '45537189', '41878811'  );</t>
  </si>
  <si>
    <t>$fuels[] = array('</t>
  </si>
  <si>
    <t>Gasoline, oxygenated</t>
  </si>
  <si>
    <t>', '</t>
  </si>
  <si>
    <t>", "</t>
  </si>
  <si>
    <t>");</t>
  </si>
  <si>
    <t>N</t>
  </si>
  <si>
    <t>k</t>
  </si>
  <si>
    <t>M</t>
  </si>
  <si>
    <t>T</t>
  </si>
  <si>
    <t>P</t>
  </si>
  <si>
    <t>MM</t>
  </si>
  <si>
    <t xml:space="preserve"> ------ </t>
  </si>
  <si>
    <t>E</t>
  </si>
  <si>
    <t>1e6</t>
  </si>
  <si>
    <t>1e18</t>
  </si>
  <si>
    <t>1e15</t>
  </si>
  <si>
    <t>1e12</t>
  </si>
  <si>
    <t>1e9</t>
  </si>
  <si>
    <t>Metric weight ~half a dime</t>
  </si>
  <si>
    <t>16 ounces</t>
  </si>
  <si>
    <t>1000 grams, ~2.2 pounds</t>
  </si>
  <si>
    <t>1000 kilograms</t>
  </si>
  <si>
    <t>1.5 fluid ounces</t>
  </si>
  <si>
    <t>American gallon</t>
  </si>
  <si>
    <t>128 cubic feet</t>
  </si>
  <si>
    <t>USpd</t>
  </si>
  <si>
    <t>A-b</t>
  </si>
  <si>
    <t>A-bomb</t>
  </si>
  <si>
    <t>quake</t>
  </si>
  <si>
    <t>H-b</t>
  </si>
  <si>
    <t>S-hr</t>
  </si>
  <si>
    <t>Earth quake</t>
  </si>
  <si>
    <t>H-bomb</t>
  </si>
  <si>
    <t>world 2000</t>
  </si>
  <si>
    <t>World solar hour</t>
  </si>
  <si>
    <t>$events[] = array("</t>
  </si>
  <si>
    <t>');</t>
  </si>
  <si>
    <t>$eUnits[] = array('</t>
  </si>
  <si>
    <t>$qUnits[] = array('</t>
  </si>
  <si>
    <t>', 0);</t>
  </si>
  <si>
    <t>', 1);</t>
  </si>
  <si>
    <t>Quads</t>
  </si>
  <si>
    <t>MJ</t>
  </si>
  <si>
    <t>$prefixs[] = array('</t>
  </si>
  <si>
    <t>http://www.unc.edu/~rowlett/units/</t>
  </si>
  <si>
    <t>Billion billion, 18 zeros.</t>
  </si>
  <si>
    <t>One billion, 9 zeros.</t>
  </si>
  <si>
    <t>One trillion, 12 zeros.</t>
  </si>
  <si>
    <t>One million, 6 zeros.</t>
  </si>
  <si>
    <t>One thousand</t>
  </si>
  <si>
    <t>Ten</t>
  </si>
  <si>
    <t>99.876</t>
  </si>
  <si>
    <t>#19</t>
  </si>
  <si>
    <t>DOE's Monthly Energy Review, 2006-04</t>
  </si>
  <si>
    <t>.149</t>
  </si>
  <si>
    <t>.064</t>
  </si>
  <si>
    <t>85.937</t>
  </si>
  <si>
    <t>8.133</t>
  </si>
  <si>
    <t>Gasoline, US 2005</t>
  </si>
  <si>
    <t>tons/128cf</t>
  </si>
  <si>
    <t>http://www.eia.doe.gov/oiaf/forecasting.html</t>
  </si>
  <si>
    <t>usFF</t>
  </si>
  <si>
    <t>usE</t>
  </si>
  <si>
    <t>usSol</t>
  </si>
  <si>
    <t>usWind</t>
  </si>
  <si>
    <t>usNuc</t>
  </si>
  <si>
    <t>usFimp</t>
  </si>
  <si>
    <t>usNG</t>
  </si>
  <si>
    <t>usOimp</t>
  </si>
  <si>
    <t>usPersia</t>
  </si>
  <si>
    <t>Name</t>
  </si>
  <si>
    <t>Key</t>
  </si>
  <si>
    <t>Description</t>
  </si>
  <si>
    <t>US population, 2005</t>
  </si>
  <si>
    <t>International Energy Outlook 2005</t>
  </si>
  <si>
    <t>W02-DOE</t>
  </si>
  <si>
    <t>=D33</t>
  </si>
  <si>
    <t>DOEs Word E in 2002</t>
  </si>
  <si>
    <t>DOEs Word E estimate for 2010</t>
  </si>
  <si>
    <t>W10-DOE</t>
  </si>
  <si>
    <t>usE02-doe</t>
  </si>
  <si>
    <t>usE10-doe</t>
  </si>
  <si>
    <t>BPW02</t>
  </si>
  <si>
    <t>BPW04</t>
  </si>
  <si>
    <t>M TOE</t>
  </si>
  <si>
    <t>British petroleum</t>
  </si>
  <si>
    <t>W05-DOE</t>
  </si>
  <si>
    <t>#20</t>
  </si>
  <si>
    <t>#19, #20</t>
  </si>
  <si>
    <t>usFprod</t>
  </si>
  <si>
    <t>Wold population, 2005</t>
  </si>
  <si>
    <t>WE</t>
  </si>
  <si>
    <t>WEpd</t>
  </si>
  <si>
    <t>Energy-year (US)</t>
  </si>
  <si>
    <t>Energy-person-day (US)</t>
  </si>
  <si>
    <t>Wind-year (US)</t>
  </si>
  <si>
    <t>Solar-energy-year (US)</t>
  </si>
  <si>
    <t>Fossil-production-year (US)</t>
  </si>
  <si>
    <t>Nuclear-power-year (US)</t>
  </si>
  <si>
    <t>Oil-import-year (US)</t>
  </si>
  <si>
    <t>Energy year (World)</t>
  </si>
  <si>
    <t>Energy-person-day (World)</t>
  </si>
  <si>
    <t>Total US energy consumption per person per day, on average, during 2005.</t>
  </si>
  <si>
    <t>Total US wind energy produced during 2005.</t>
  </si>
  <si>
    <t>Total US solar energy used for heating or electricity generation during 2005.</t>
  </si>
  <si>
    <t>Total US fossil energy consumed during 2005.</t>
  </si>
  <si>
    <t>Total US fossil energy produced during 2005.</t>
  </si>
  <si>
    <t>Total US nuclear energy produced during 2005.</t>
  </si>
  <si>
    <t>Total US fossil imports during 2005.</t>
  </si>
  <si>
    <t>Total US natural gas imports during 2005.</t>
  </si>
  <si>
    <t>Total US oil imports during 2005.</t>
  </si>
  <si>
    <t>Total US fossil imports from Persian Gulf during 2005.</t>
  </si>
  <si>
    <t>Hiroshima bomb (20 kilotons), 1945.</t>
  </si>
  <si>
    <t>Energy released by a magnitude 8 earthquake.</t>
  </si>
  <si>
    <t>Largest H-bomb tested (58 Megatons). Soviet Union, 1961.</t>
  </si>
  <si>
    <t>Solar power recieved by earth in 1 hour.</t>
  </si>
  <si>
    <t>Total World oil consumption per person per day during 2005.</t>
  </si>
  <si>
    <t>Total World oil consumption during 2005.</t>
  </si>
  <si>
    <t>usEnol</t>
  </si>
  <si>
    <t>Ethanol-year (US)</t>
  </si>
  <si>
    <t>usEsave</t>
  </si>
  <si>
    <t>Total alcohol fuels (mainly ethanol) produced during 2005 in the US.</t>
  </si>
  <si>
    <t>Total energy saved by the production of ethanol during 2005 in the US. Based on the Dept. of Agricultures energy ratio of 1.34 for corn ethanol production. This means 1.34 energy units of ethanol use up 1 unit of input energy. So for each 1.34 units of ethanol energy produced there is a net gain of only 0.34 energy units.</t>
  </si>
  <si>
    <t>Persian-gulf-import-year (US)</t>
  </si>
  <si>
    <t>Fossil-import-year (US)</t>
  </si>
  <si>
    <t>Natural-gas-year (US)</t>
  </si>
  <si>
    <t>Energy-saved-by-ethanol year</t>
  </si>
  <si>
    <t>Average energy content of coal consumed in the US during 2005.</t>
  </si>
  <si>
    <t>Approximate energy content of TNT</t>
  </si>
  <si>
    <t>Average energy Content of US crude oil imported during 2005.</t>
  </si>
  <si>
    <t>Average energy content of "crude oil" according to DOE. This definition was established by the Bureau of mines in 1950.</t>
  </si>
  <si>
    <t>Average energy content of gasoline sold in the US in 2005.</t>
  </si>
  <si>
    <t>Average energy content of reformulated or oxygenated gasoline sold in the US in 2005.</t>
  </si>
  <si>
    <t>Average energy content of aviation gasloline (not jet fuel).</t>
  </si>
  <si>
    <t>Average energy content of Jet A, the standard (kerosene type) jet fuel sold in the US.</t>
  </si>
  <si>
    <t>Average energy content of fuel ethanol (essentially identical to pure ethanol).</t>
  </si>
  <si>
    <t>Energy content of pure ethanol.</t>
  </si>
  <si>
    <t>Energy content of pure methanol.</t>
  </si>
  <si>
    <t>Average energy content of bio-diesel.</t>
  </si>
  <si>
    <t>Average energy content of deisel.</t>
  </si>
  <si>
    <t>Average energy content of natural gas consumed in the US during 2005.</t>
  </si>
  <si>
    <t>Average energy content of LNG (liquified natural gas). This value was derived from the average energy content of natural gas sold in the US during 2005, adjusting for the density change caused by liquifaction.</t>
  </si>
  <si>
    <t>Energy content of hydrogen at 15 decrees C (59 degrees F) and 1 atmosphere (760 mm Hg) pressure.</t>
  </si>
  <si>
    <t>Energy content of methane at 15 decrees C (59 degrees F) and 1 atmosphere (760 mm Hg) pressure.</t>
  </si>
  <si>
    <t>Energy content of ethane at 15 decrees C (59 degrees F) and 1 atmosphere (760 mm Hg) pressure.</t>
  </si>
  <si>
    <t>Energy content of propane at 15 decrees C (59 degrees F) and 1 atmosphere (760 mm Hg) pressure.</t>
  </si>
  <si>
    <t>Energy content of butane at 15 decrees C (59 degrees F) and 1 atmosphere (760 mm Hg) pressure.</t>
  </si>
  <si>
    <t>Average energy content of oven dried ("bone dry") Wood.</t>
  </si>
  <si>
    <t>Approximate energy content of whisky.</t>
  </si>
  <si>
    <t>Approximate energy content of butter.</t>
  </si>
  <si>
    <t>Oil, US 2005</t>
  </si>
  <si>
    <t>Coal, US 2005</t>
  </si>
  <si>
    <t>Ethanol, fuel</t>
  </si>
  <si>
    <t>Ethanol, pure</t>
  </si>
  <si>
    <t>Methanol, pure</t>
  </si>
  <si>
    <t>Natural gas, US 2005</t>
  </si>
  <si>
    <t>LNG (liquified NG)</t>
  </si>
  <si>
    <t>Oil, "DOE crude"</t>
  </si>
  <si>
    <t>Jet fuel A</t>
  </si>
  <si>
    <t>One watt second. The energy used by a 1 watt light bulb (e.g. ~ for a flashlight) in 1 second.</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</si>
</sst>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E+00"/>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0.0000"/>
    <numFmt numFmtId="171" formatCode="0.000000E+00"/>
    <numFmt numFmtId="172" formatCode="#,##0.000000"/>
    <numFmt numFmtId="173" formatCode="0.E+00"/>
    <numFmt numFmtId="174" formatCode="0.0.E+00"/>
    <numFmt numFmtId="175" formatCode="0.00.E+00"/>
    <numFmt numFmtId="176" formatCode="0.000.E+00"/>
    <numFmt numFmtId="177" formatCode="0.0000.E+00"/>
    <numFmt numFmtId="178" formatCode="0.0%"/>
    <numFmt numFmtId="179" formatCode="0.0000"/>
    <numFmt numFmtId="180" formatCode="0.00000"/>
    <numFmt numFmtId="181" formatCode="0.000"/>
    <numFmt numFmtId="182" formatCode="#,##0.0"/>
    <numFmt numFmtId="183" formatCode="0.0E+00"/>
    <numFmt numFmtId="184" formatCode="0.000000"/>
    <numFmt numFmtId="185" formatCode="0.0"/>
    <numFmt numFmtId="186" formatCode="0.0000000"/>
    <numFmt numFmtId="187" formatCode="0.00000000"/>
    <numFmt numFmtId="188" formatCode="0.000000000"/>
    <numFmt numFmtId="189" formatCode="0.0000000000"/>
    <numFmt numFmtId="190" formatCode="_(* #,##0.0_);_(* \(#,##0.0\);_(* &quot;-&quot;??_);_(@_)"/>
    <numFmt numFmtId="191" formatCode="_(* #,##0_);_(* \(#,##0\);_(* &quot;-&quot;??_);_(@_)"/>
    <numFmt numFmtId="192" formatCode="0.000E+00"/>
    <numFmt numFmtId="193" formatCode="0.0000E+00"/>
  </numFmts>
  <fonts count="17">
    <font>
      <sz val="10"/>
      <name val="Arial"/>
      <family val="0"/>
    </font>
    <font>
      <sz val="8"/>
      <name val="Arial"/>
      <family val="0"/>
    </font>
    <font>
      <b/>
      <sz val="10"/>
      <name val="Arial"/>
      <family val="2"/>
    </font>
    <font>
      <u val="single"/>
      <sz val="10"/>
      <color indexed="12"/>
      <name val="Arial"/>
      <family val="0"/>
    </font>
    <font>
      <b/>
      <u val="single"/>
      <sz val="10"/>
      <color indexed="12"/>
      <name val="Arial"/>
      <family val="2"/>
    </font>
    <font>
      <sz val="8"/>
      <name val="Tahoma"/>
      <family val="0"/>
    </font>
    <font>
      <b/>
      <sz val="8"/>
      <name val="Tahoma"/>
      <family val="0"/>
    </font>
    <font>
      <u val="single"/>
      <sz val="10"/>
      <color indexed="36"/>
      <name val="Arial"/>
      <family val="0"/>
    </font>
    <font>
      <sz val="10"/>
      <name val="Arial Unicode MS"/>
      <family val="0"/>
    </font>
    <font>
      <sz val="9"/>
      <name val="Arial"/>
      <family val="0"/>
    </font>
    <font>
      <i/>
      <sz val="10"/>
      <name val="Arial"/>
      <family val="0"/>
    </font>
    <font>
      <b/>
      <sz val="11"/>
      <name val="Arial"/>
      <family val="2"/>
    </font>
    <font>
      <b/>
      <sz val="12"/>
      <color indexed="8"/>
      <name val="Arial"/>
      <family val="0"/>
    </font>
    <font>
      <b/>
      <sz val="9"/>
      <color indexed="18"/>
      <name val="Arial"/>
      <family val="0"/>
    </font>
    <font>
      <b/>
      <sz val="9"/>
      <color indexed="8"/>
      <name val="Arial"/>
      <family val="0"/>
    </font>
    <font>
      <sz val="10"/>
      <color indexed="56"/>
      <name val="Arial"/>
      <family val="0"/>
    </font>
    <font>
      <b/>
      <sz val="8"/>
      <name val="Arial"/>
      <family val="2"/>
    </font>
  </fonts>
  <fills count="5">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42"/>
        <bgColor indexed="64"/>
      </patternFill>
    </fill>
  </fills>
  <borders count="8">
    <border>
      <left/>
      <right/>
      <top/>
      <bottom/>
      <diagonal/>
    </border>
    <border>
      <left>
        <color indexed="63"/>
      </left>
      <right>
        <color indexed="63"/>
      </right>
      <top>
        <color indexed="63"/>
      </top>
      <bottom style="medium"/>
    </border>
    <border>
      <left>
        <color indexed="63"/>
      </left>
      <right>
        <color indexed="63"/>
      </right>
      <top style="medium"/>
      <bottom style="thin"/>
    </border>
    <border>
      <left style="thin"/>
      <right style="thin"/>
      <top>
        <color indexed="63"/>
      </top>
      <bottom>
        <color indexed="63"/>
      </bottom>
    </border>
    <border>
      <left>
        <color indexed="63"/>
      </left>
      <right style="thick"/>
      <top>
        <color indexed="63"/>
      </top>
      <bottom>
        <color indexed="63"/>
      </bottom>
    </border>
    <border>
      <left>
        <color indexed="63"/>
      </left>
      <right style="medium"/>
      <top>
        <color indexed="63"/>
      </top>
      <bottom>
        <color indexed="63"/>
      </bottom>
    </border>
    <border>
      <left>
        <color indexed="63"/>
      </left>
      <right style="thick"/>
      <top>
        <color indexed="63"/>
      </top>
      <bottom style="medium"/>
    </border>
    <border>
      <left style="thin"/>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95">
    <xf numFmtId="0" fontId="0" fillId="0" borderId="0" xfId="0" applyAlignment="1">
      <alignment/>
    </xf>
    <xf numFmtId="0" fontId="0" fillId="0" borderId="0" xfId="0" applyAlignment="1" quotePrefix="1">
      <alignment/>
    </xf>
    <xf numFmtId="0" fontId="0" fillId="0" borderId="0" xfId="0" applyAlignment="1">
      <alignment horizontal="right"/>
    </xf>
    <xf numFmtId="0" fontId="2" fillId="0" borderId="0" xfId="0" applyFont="1" applyAlignment="1">
      <alignment/>
    </xf>
    <xf numFmtId="0" fontId="3" fillId="0" borderId="0" xfId="20" applyAlignment="1">
      <alignment/>
    </xf>
    <xf numFmtId="0" fontId="4" fillId="0" borderId="0" xfId="20" applyFont="1" applyAlignment="1">
      <alignment/>
    </xf>
    <xf numFmtId="11" fontId="0" fillId="0" borderId="0" xfId="0" applyNumberFormat="1" applyAlignment="1">
      <alignment/>
    </xf>
    <xf numFmtId="164" fontId="0" fillId="0" borderId="0" xfId="0" applyNumberFormat="1" applyAlignment="1">
      <alignment/>
    </xf>
    <xf numFmtId="3" fontId="0" fillId="0" borderId="0" xfId="0" applyNumberFormat="1" applyAlignment="1">
      <alignment/>
    </xf>
    <xf numFmtId="4" fontId="0" fillId="0" borderId="0" xfId="0" applyNumberFormat="1" applyAlignment="1">
      <alignment/>
    </xf>
    <xf numFmtId="169" fontId="0" fillId="0" borderId="0" xfId="0" applyNumberFormat="1" applyAlignment="1">
      <alignment/>
    </xf>
    <xf numFmtId="170" fontId="0" fillId="0" borderId="0" xfId="0" applyNumberFormat="1" applyAlignment="1">
      <alignment/>
    </xf>
    <xf numFmtId="172" fontId="0" fillId="0" borderId="0" xfId="0" applyNumberFormat="1" applyAlignment="1">
      <alignment/>
    </xf>
    <xf numFmtId="0" fontId="2" fillId="0" borderId="0" xfId="0" applyFont="1" applyAlignment="1">
      <alignment horizontal="center"/>
    </xf>
    <xf numFmtId="0" fontId="2" fillId="0" borderId="0" xfId="0" applyFont="1" applyAlignment="1">
      <alignment horizontal="right"/>
    </xf>
    <xf numFmtId="0" fontId="0" fillId="0" borderId="0" xfId="0" applyFont="1" applyAlignment="1">
      <alignment horizontal="right"/>
    </xf>
    <xf numFmtId="0" fontId="0" fillId="0" borderId="0" xfId="0" applyFont="1" applyAlignment="1">
      <alignment/>
    </xf>
    <xf numFmtId="0" fontId="8" fillId="0" borderId="0" xfId="0" applyFont="1" applyAlignment="1">
      <alignment/>
    </xf>
    <xf numFmtId="0" fontId="0" fillId="2" borderId="0" xfId="0" applyFill="1" applyAlignment="1">
      <alignment/>
    </xf>
    <xf numFmtId="0" fontId="2" fillId="2" borderId="0" xfId="0" applyFont="1" applyFill="1" applyAlignment="1">
      <alignment/>
    </xf>
    <xf numFmtId="0" fontId="0" fillId="2" borderId="0" xfId="0" applyFont="1" applyFill="1" applyAlignment="1">
      <alignment/>
    </xf>
    <xf numFmtId="0" fontId="0" fillId="0" borderId="0" xfId="0" applyFill="1" applyAlignment="1">
      <alignment/>
    </xf>
    <xf numFmtId="0" fontId="2" fillId="0" borderId="0" xfId="0" applyFont="1" applyFill="1" applyAlignment="1">
      <alignment/>
    </xf>
    <xf numFmtId="0" fontId="0" fillId="3" borderId="0" xfId="0" applyFill="1" applyAlignment="1">
      <alignment/>
    </xf>
    <xf numFmtId="177" fontId="0" fillId="0" borderId="0" xfId="0" applyNumberFormat="1" applyAlignment="1">
      <alignment/>
    </xf>
    <xf numFmtId="0" fontId="0" fillId="0" borderId="0" xfId="0" applyFill="1" applyBorder="1" applyAlignment="1">
      <alignment/>
    </xf>
    <xf numFmtId="0" fontId="0" fillId="0" borderId="1" xfId="0" applyFill="1" applyBorder="1" applyAlignment="1">
      <alignment/>
    </xf>
    <xf numFmtId="0" fontId="10" fillId="0" borderId="2" xfId="0" applyFont="1" applyFill="1" applyBorder="1" applyAlignment="1">
      <alignment horizontal="center"/>
    </xf>
    <xf numFmtId="0" fontId="10" fillId="0" borderId="2" xfId="0" applyFont="1" applyFill="1" applyBorder="1" applyAlignment="1">
      <alignment horizontal="centerContinuous"/>
    </xf>
    <xf numFmtId="0" fontId="0" fillId="0" borderId="0" xfId="0" applyFont="1" applyAlignment="1">
      <alignment/>
    </xf>
    <xf numFmtId="10" fontId="0" fillId="0" borderId="0" xfId="21" applyNumberFormat="1" applyAlignment="1">
      <alignment/>
    </xf>
    <xf numFmtId="0" fontId="0" fillId="0" borderId="3" xfId="0" applyBorder="1" applyAlignment="1">
      <alignment/>
    </xf>
    <xf numFmtId="0" fontId="2" fillId="3" borderId="3" xfId="0" applyFont="1" applyFill="1" applyBorder="1" applyAlignment="1">
      <alignment horizontal="center"/>
    </xf>
    <xf numFmtId="0" fontId="2" fillId="0" borderId="3" xfId="0" applyFont="1" applyBorder="1" applyAlignment="1">
      <alignment horizontal="center"/>
    </xf>
    <xf numFmtId="3" fontId="2" fillId="0" borderId="0" xfId="0" applyNumberFormat="1" applyFont="1" applyAlignment="1">
      <alignment horizontal="center"/>
    </xf>
    <xf numFmtId="3" fontId="2" fillId="0" borderId="0" xfId="0" applyNumberFormat="1" applyFont="1" applyAlignment="1">
      <alignment horizontal="right"/>
    </xf>
    <xf numFmtId="179" fontId="0" fillId="0" borderId="0" xfId="0" applyNumberFormat="1" applyAlignment="1">
      <alignment/>
    </xf>
    <xf numFmtId="179" fontId="2" fillId="0" borderId="0" xfId="0" applyNumberFormat="1" applyFont="1" applyAlignment="1">
      <alignment horizontal="center"/>
    </xf>
    <xf numFmtId="2" fontId="0" fillId="0" borderId="0" xfId="0" applyNumberFormat="1" applyAlignment="1">
      <alignment wrapText="1"/>
    </xf>
    <xf numFmtId="181" fontId="0" fillId="0" borderId="0" xfId="0" applyNumberFormat="1" applyAlignment="1">
      <alignment/>
    </xf>
    <xf numFmtId="2" fontId="0" fillId="0" borderId="0" xfId="0" applyNumberFormat="1" applyAlignment="1">
      <alignment/>
    </xf>
    <xf numFmtId="2" fontId="9" fillId="0" borderId="0" xfId="0" applyNumberFormat="1" applyFont="1" applyAlignment="1">
      <alignment wrapText="1"/>
    </xf>
    <xf numFmtId="182" fontId="0" fillId="0" borderId="0" xfId="0" applyNumberFormat="1" applyAlignment="1">
      <alignment/>
    </xf>
    <xf numFmtId="184" fontId="0" fillId="3" borderId="0" xfId="0" applyNumberFormat="1" applyFill="1" applyAlignment="1">
      <alignment/>
    </xf>
    <xf numFmtId="184" fontId="0" fillId="0" borderId="0" xfId="0" applyNumberFormat="1" applyFill="1" applyAlignment="1">
      <alignment/>
    </xf>
    <xf numFmtId="1" fontId="0" fillId="0" borderId="0" xfId="0" applyNumberFormat="1" applyAlignment="1">
      <alignment/>
    </xf>
    <xf numFmtId="180" fontId="0" fillId="0" borderId="0" xfId="0" applyNumberFormat="1" applyAlignment="1">
      <alignment/>
    </xf>
    <xf numFmtId="186" fontId="0" fillId="0" borderId="0" xfId="0" applyNumberFormat="1" applyAlignment="1">
      <alignment/>
    </xf>
    <xf numFmtId="187" fontId="0" fillId="0" borderId="0" xfId="0" applyNumberFormat="1" applyAlignment="1">
      <alignment/>
    </xf>
    <xf numFmtId="183" fontId="0" fillId="0" borderId="0" xfId="0" applyNumberFormat="1" applyFill="1" applyAlignment="1">
      <alignment/>
    </xf>
    <xf numFmtId="180" fontId="1" fillId="0" borderId="0" xfId="0" applyNumberFormat="1" applyFont="1" applyAlignment="1">
      <alignment/>
    </xf>
    <xf numFmtId="178" fontId="0" fillId="0" borderId="0" xfId="21" applyNumberFormat="1" applyAlignment="1">
      <alignment/>
    </xf>
    <xf numFmtId="185" fontId="0" fillId="0" borderId="0" xfId="0" applyNumberFormat="1" applyAlignment="1">
      <alignment/>
    </xf>
    <xf numFmtId="186" fontId="0" fillId="0" borderId="0" xfId="0" applyNumberFormat="1" applyFill="1" applyAlignment="1">
      <alignment/>
    </xf>
    <xf numFmtId="179" fontId="0" fillId="0" borderId="0" xfId="0" applyNumberFormat="1" applyFill="1" applyAlignment="1">
      <alignment/>
    </xf>
    <xf numFmtId="2" fontId="0" fillId="0" borderId="0" xfId="0" applyNumberFormat="1" applyBorder="1" applyAlignment="1">
      <alignment/>
    </xf>
    <xf numFmtId="2" fontId="2" fillId="0" borderId="0" xfId="0" applyNumberFormat="1" applyFont="1" applyBorder="1" applyAlignment="1">
      <alignment horizontal="center"/>
    </xf>
    <xf numFmtId="2" fontId="2" fillId="0" borderId="0" xfId="0" applyNumberFormat="1" applyFont="1" applyFill="1" applyBorder="1" applyAlignment="1">
      <alignment horizontal="center"/>
    </xf>
    <xf numFmtId="2" fontId="2" fillId="0" borderId="0" xfId="0" applyNumberFormat="1" applyFont="1" applyAlignment="1">
      <alignment/>
    </xf>
    <xf numFmtId="2" fontId="0" fillId="0" borderId="0" xfId="0" applyNumberFormat="1" applyFont="1" applyAlignment="1">
      <alignment/>
    </xf>
    <xf numFmtId="2" fontId="15" fillId="0" borderId="0" xfId="0" applyNumberFormat="1" applyFont="1" applyAlignment="1">
      <alignment/>
    </xf>
    <xf numFmtId="0" fontId="0" fillId="0" borderId="4" xfId="0" applyBorder="1" applyAlignment="1">
      <alignment/>
    </xf>
    <xf numFmtId="0" fontId="2" fillId="0" borderId="4" xfId="0" applyFont="1" applyBorder="1" applyAlignment="1">
      <alignment/>
    </xf>
    <xf numFmtId="49" fontId="0" fillId="0" borderId="0" xfId="0" applyNumberFormat="1" applyAlignment="1">
      <alignment/>
    </xf>
    <xf numFmtId="0" fontId="0" fillId="0" borderId="5" xfId="0" applyBorder="1" applyAlignment="1">
      <alignment/>
    </xf>
    <xf numFmtId="0" fontId="2" fillId="0" borderId="0" xfId="0" applyFont="1" applyAlignment="1">
      <alignment horizontal="left"/>
    </xf>
    <xf numFmtId="0" fontId="0" fillId="0" borderId="0" xfId="0" applyNumberFormat="1" applyAlignment="1">
      <alignment/>
    </xf>
    <xf numFmtId="0" fontId="0" fillId="0" borderId="4" xfId="0" applyNumberFormat="1" applyBorder="1" applyAlignment="1">
      <alignment/>
    </xf>
    <xf numFmtId="0" fontId="2" fillId="0" borderId="0" xfId="0" applyNumberFormat="1" applyFont="1" applyAlignment="1">
      <alignment/>
    </xf>
    <xf numFmtId="0" fontId="0" fillId="0" borderId="6" xfId="0" applyBorder="1" applyAlignment="1">
      <alignment/>
    </xf>
    <xf numFmtId="49" fontId="0" fillId="0" borderId="0" xfId="0" applyNumberFormat="1" applyAlignment="1" quotePrefix="1">
      <alignment/>
    </xf>
    <xf numFmtId="0" fontId="2" fillId="0" borderId="0" xfId="0" applyFont="1" applyAlignment="1">
      <alignment horizontal="center"/>
    </xf>
    <xf numFmtId="2" fontId="2" fillId="3" borderId="0" xfId="0" applyNumberFormat="1" applyFont="1" applyFill="1" applyAlignment="1">
      <alignment horizontal="center"/>
    </xf>
    <xf numFmtId="3" fontId="2" fillId="0" borderId="0" xfId="0" applyNumberFormat="1" applyFont="1" applyAlignment="1">
      <alignment horizontal="center"/>
    </xf>
    <xf numFmtId="0" fontId="2" fillId="3" borderId="0" xfId="0" applyFont="1" applyFill="1" applyAlignment="1">
      <alignment horizontal="center"/>
    </xf>
    <xf numFmtId="49" fontId="2" fillId="0" borderId="0" xfId="0" applyNumberFormat="1" applyFont="1" applyAlignment="1">
      <alignment/>
    </xf>
    <xf numFmtId="193" fontId="0" fillId="0" borderId="0" xfId="0" applyNumberFormat="1" applyAlignment="1">
      <alignment/>
    </xf>
    <xf numFmtId="4" fontId="2" fillId="0" borderId="0" xfId="0" applyNumberFormat="1" applyFont="1" applyAlignment="1">
      <alignment/>
    </xf>
    <xf numFmtId="4" fontId="0" fillId="0" borderId="0" xfId="0" applyNumberFormat="1" applyAlignment="1">
      <alignment horizontal="right"/>
    </xf>
    <xf numFmtId="4" fontId="0" fillId="2" borderId="0" xfId="0" applyNumberFormat="1" applyFill="1" applyAlignment="1">
      <alignment/>
    </xf>
    <xf numFmtId="0" fontId="0" fillId="4" borderId="0" xfId="0" applyFill="1" applyAlignment="1">
      <alignment/>
    </xf>
    <xf numFmtId="0" fontId="2" fillId="4" borderId="0" xfId="0" applyFont="1" applyFill="1" applyAlignment="1">
      <alignment/>
    </xf>
    <xf numFmtId="11" fontId="0" fillId="0" borderId="0" xfId="0" applyNumberFormat="1" applyAlignment="1">
      <alignment horizontal="right"/>
    </xf>
    <xf numFmtId="0" fontId="0" fillId="0" borderId="1" xfId="0" applyBorder="1" applyAlignment="1">
      <alignment/>
    </xf>
    <xf numFmtId="0" fontId="0" fillId="2" borderId="1" xfId="0" applyFill="1" applyBorder="1" applyAlignment="1">
      <alignment/>
    </xf>
    <xf numFmtId="0" fontId="0" fillId="0" borderId="1" xfId="0" applyFill="1" applyBorder="1" applyAlignment="1">
      <alignment/>
    </xf>
    <xf numFmtId="0" fontId="8" fillId="0" borderId="1" xfId="0" applyFont="1" applyBorder="1" applyAlignment="1">
      <alignment/>
    </xf>
    <xf numFmtId="3" fontId="0" fillId="0" borderId="1" xfId="0" applyNumberFormat="1" applyBorder="1" applyAlignment="1">
      <alignment/>
    </xf>
    <xf numFmtId="179" fontId="0" fillId="0" borderId="1" xfId="0" applyNumberFormat="1" applyBorder="1" applyAlignment="1">
      <alignment/>
    </xf>
    <xf numFmtId="0" fontId="0" fillId="0" borderId="7" xfId="0" applyBorder="1" applyAlignment="1">
      <alignment/>
    </xf>
    <xf numFmtId="2" fontId="0" fillId="0" borderId="1" xfId="0" applyNumberFormat="1" applyBorder="1" applyAlignment="1">
      <alignment/>
    </xf>
    <xf numFmtId="49" fontId="0" fillId="0" borderId="1" xfId="0" applyNumberFormat="1" applyBorder="1" applyAlignment="1" quotePrefix="1">
      <alignment/>
    </xf>
    <xf numFmtId="0" fontId="2" fillId="0" borderId="1" xfId="0" applyFont="1" applyBorder="1" applyAlignment="1">
      <alignment/>
    </xf>
    <xf numFmtId="0" fontId="11" fillId="0" borderId="1" xfId="0" applyFont="1" applyBorder="1" applyAlignment="1">
      <alignment/>
    </xf>
    <xf numFmtId="9" fontId="0" fillId="0" borderId="0" xfId="2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iodiesel.org/pdf_files/fuelfactsheets/BTU_Content_Final_Oct2005.pdf" TargetMode="External" /><Relationship Id="rId2" Type="http://schemas.openxmlformats.org/officeDocument/2006/relationships/hyperlink" Target="http://www.ior.com.au/ecflist.html" TargetMode="External" /><Relationship Id="rId3" Type="http://schemas.openxmlformats.org/officeDocument/2006/relationships/hyperlink" Target="http://www.eppo.go.th/ref/UNIT-OIL.html" TargetMode="External" /><Relationship Id="rId4" Type="http://schemas.openxmlformats.org/officeDocument/2006/relationships/hyperlink" Target="http://www.gulfoilandgas.com/Webpro1/Oil/approxEnergyContent.asp" TargetMode="External" /><Relationship Id="rId5" Type="http://schemas.openxmlformats.org/officeDocument/2006/relationships/hyperlink" Target="http://tonto.eia.doe.gov/FTPROOT/alternativefuels/0585o.pdf" TargetMode="External" /><Relationship Id="rId6" Type="http://schemas.openxmlformats.org/officeDocument/2006/relationships/hyperlink" Target="http://www.eere.doe.gov/afdc/progs/display_all_faq.cgi?afdc%7C0" TargetMode="External" /><Relationship Id="rId7" Type="http://schemas.openxmlformats.org/officeDocument/2006/relationships/hyperlink" Target="http://www.localenergy.org/pdfs/Document%20Library/Bioenergy%20conversion%20factors.pdf" TargetMode="External" /><Relationship Id="rId8" Type="http://schemas.openxmlformats.org/officeDocument/2006/relationships/hyperlink" Target="http://www.uniongas.com/aboutus/aboutng/composition.asp" TargetMode="External" /><Relationship Id="rId9" Type="http://schemas.openxmlformats.org/officeDocument/2006/relationships/hyperlink" Target="http://www.princeton.edu/~cmi/resources/Wedges/Gas%20baseload%20power%20for%20coal%20power8.16.pdf" TargetMode="External" /><Relationship Id="rId10" Type="http://schemas.openxmlformats.org/officeDocument/2006/relationships/hyperlink" Target="http://www.unc.edu/~rowlett/units/index.html" TargetMode="External" /><Relationship Id="rId11" Type="http://schemas.openxmlformats.org/officeDocument/2006/relationships/hyperlink" Target="http://www.eia.doe.gov/oiaf/ieo/download.html" TargetMode="External" /><Relationship Id="rId12" Type="http://schemas.openxmlformats.org/officeDocument/2006/relationships/hyperlink" Target="http://tonto.eia.doe.gov/FTPROOT/monthlyhistory.htm" TargetMode="External" /><Relationship Id="rId13" Type="http://schemas.openxmlformats.org/officeDocument/2006/relationships/hyperlink" Target="http://www.iea.org/dbtw-wpd/Textbase/stats/unit.asp" TargetMode="External" /><Relationship Id="rId14" Type="http://schemas.openxmlformats.org/officeDocument/2006/relationships/hyperlink" Target="http://www.spe.org/spe/jsp/basic/0,,1104_1732,00.html" TargetMode="External" /><Relationship Id="rId15" Type="http://schemas.openxmlformats.org/officeDocument/2006/relationships/hyperlink" Target="http://www.iea.org/Textbase/publications/free_new_Desc.asp?PUBS_ID=1461" TargetMode="External" /><Relationship Id="rId16" Type="http://schemas.openxmlformats.org/officeDocument/2006/relationships/hyperlink" Target="http://www.grantprideco.com/engineering/converter/" TargetMode="External" /><Relationship Id="rId17" Type="http://schemas.openxmlformats.org/officeDocument/2006/relationships/hyperlink" Target="http://www.eia.doe.gov/emeu/ipsr/appe1.txt" TargetMode="External" /><Relationship Id="rId18"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hyperlink" Target="http://www.ior.com.au/ecflist.html" TargetMode="External" /><Relationship Id="rId2" Type="http://schemas.openxmlformats.org/officeDocument/2006/relationships/comments" Target="../comments4.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ia.doe.gov/oiaf/ieo/download.html" TargetMode="External" /><Relationship Id="rId2" Type="http://schemas.openxmlformats.org/officeDocument/2006/relationships/comments" Target="../comments5.xml" /><Relationship Id="rId3"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hyperlink" Target="http://www.gulfoilandgas.com/Webpro1/Oil/approxEnergyContent.asp" TargetMode="External" /></Relationships>
</file>

<file path=xl/worksheets/sheet1.xml><?xml version="1.0" encoding="utf-8"?>
<worksheet xmlns="http://schemas.openxmlformats.org/spreadsheetml/2006/main" xmlns:r="http://schemas.openxmlformats.org/officeDocument/2006/relationships">
  <dimension ref="B2:J27"/>
  <sheetViews>
    <sheetView workbookViewId="0" topLeftCell="A1">
      <selection activeCell="D19" sqref="D19"/>
    </sheetView>
  </sheetViews>
  <sheetFormatPr defaultColWidth="9.140625" defaultRowHeight="12.75"/>
  <cols>
    <col min="2" max="2" width="5.28125" style="0" customWidth="1"/>
    <col min="4" max="4" width="14.7109375" style="0" customWidth="1"/>
    <col min="5" max="5" width="6.7109375" style="0" customWidth="1"/>
    <col min="6" max="6" width="9.421875" style="0" customWidth="1"/>
    <col min="7" max="7" width="3.421875" style="0" customWidth="1"/>
    <col min="8" max="9" width="9.421875" style="0" customWidth="1"/>
  </cols>
  <sheetData>
    <row r="2" ht="12.75">
      <c r="B2" s="3" t="s">
        <v>160</v>
      </c>
    </row>
    <row r="3" spans="2:3" ht="12.75">
      <c r="B3" t="s">
        <v>490</v>
      </c>
      <c r="C3" t="s">
        <v>53</v>
      </c>
    </row>
    <row r="4" spans="2:10" ht="12.75">
      <c r="B4" t="s">
        <v>264</v>
      </c>
      <c r="C4" t="s">
        <v>165</v>
      </c>
      <c r="D4" t="s">
        <v>162</v>
      </c>
      <c r="J4" s="5" t="s">
        <v>161</v>
      </c>
    </row>
    <row r="5" spans="2:4" ht="12.75">
      <c r="B5" t="s">
        <v>275</v>
      </c>
      <c r="C5" t="s">
        <v>166</v>
      </c>
      <c r="D5" t="s">
        <v>163</v>
      </c>
    </row>
    <row r="6" spans="2:10" ht="12.75">
      <c r="B6" t="s">
        <v>276</v>
      </c>
      <c r="C6" t="s">
        <v>255</v>
      </c>
      <c r="D6" t="s">
        <v>256</v>
      </c>
      <c r="J6" s="5" t="s">
        <v>294</v>
      </c>
    </row>
    <row r="7" spans="2:10" ht="12.75">
      <c r="B7" t="s">
        <v>277</v>
      </c>
      <c r="C7" t="s">
        <v>167</v>
      </c>
      <c r="D7" t="s">
        <v>164</v>
      </c>
      <c r="J7" s="5" t="s">
        <v>172</v>
      </c>
    </row>
    <row r="8" spans="2:10" ht="12.75">
      <c r="B8" t="s">
        <v>278</v>
      </c>
      <c r="C8" t="s">
        <v>174</v>
      </c>
      <c r="D8" t="s">
        <v>171</v>
      </c>
      <c r="J8" s="5" t="s">
        <v>170</v>
      </c>
    </row>
    <row r="9" spans="2:10" ht="12.75">
      <c r="B9" t="s">
        <v>279</v>
      </c>
      <c r="C9" t="s">
        <v>173</v>
      </c>
      <c r="D9" t="s">
        <v>169</v>
      </c>
      <c r="J9" s="5" t="s">
        <v>168</v>
      </c>
    </row>
    <row r="10" spans="2:10" ht="12.75">
      <c r="B10" t="s">
        <v>280</v>
      </c>
      <c r="C10" t="s">
        <v>203</v>
      </c>
      <c r="D10" t="s">
        <v>202</v>
      </c>
      <c r="J10" s="5" t="s">
        <v>201</v>
      </c>
    </row>
    <row r="11" spans="2:10" ht="12.75">
      <c r="B11" t="s">
        <v>281</v>
      </c>
      <c r="C11" t="s">
        <v>207</v>
      </c>
      <c r="D11" t="s">
        <v>206</v>
      </c>
      <c r="J11" s="4" t="s">
        <v>553</v>
      </c>
    </row>
    <row r="12" spans="2:10" ht="12.75">
      <c r="B12" t="s">
        <v>282</v>
      </c>
      <c r="D12" t="s">
        <v>263</v>
      </c>
      <c r="J12" s="4" t="s">
        <v>262</v>
      </c>
    </row>
    <row r="13" spans="2:10" ht="12.75">
      <c r="B13" t="s">
        <v>299</v>
      </c>
      <c r="J13" t="s">
        <v>298</v>
      </c>
    </row>
    <row r="14" spans="2:10" ht="12.75">
      <c r="B14" t="s">
        <v>350</v>
      </c>
      <c r="C14" t="s">
        <v>352</v>
      </c>
      <c r="D14" t="s">
        <v>351</v>
      </c>
      <c r="J14" s="5" t="s">
        <v>339</v>
      </c>
    </row>
    <row r="15" spans="2:10" ht="12.75">
      <c r="B15" t="s">
        <v>429</v>
      </c>
      <c r="C15" t="s">
        <v>430</v>
      </c>
      <c r="D15" t="s">
        <v>428</v>
      </c>
      <c r="J15" s="4" t="s">
        <v>427</v>
      </c>
    </row>
    <row r="16" spans="2:10" ht="12.75">
      <c r="B16" t="s">
        <v>440</v>
      </c>
      <c r="D16" t="s">
        <v>442</v>
      </c>
      <c r="J16" s="4" t="s">
        <v>441</v>
      </c>
    </row>
    <row r="17" spans="2:10" ht="12.75">
      <c r="B17" t="s">
        <v>446</v>
      </c>
      <c r="D17" t="s">
        <v>445</v>
      </c>
      <c r="J17" s="4" t="s">
        <v>444</v>
      </c>
    </row>
    <row r="18" spans="2:4" ht="12.75">
      <c r="B18" t="s">
        <v>451</v>
      </c>
      <c r="D18" t="s">
        <v>118</v>
      </c>
    </row>
    <row r="19" spans="2:10" ht="12.75">
      <c r="B19" t="s">
        <v>453</v>
      </c>
      <c r="D19" t="s">
        <v>455</v>
      </c>
      <c r="J19" s="4" t="s">
        <v>454</v>
      </c>
    </row>
    <row r="20" spans="2:10" ht="12.75">
      <c r="B20" t="s">
        <v>464</v>
      </c>
      <c r="D20" t="s">
        <v>463</v>
      </c>
      <c r="J20" s="4" t="s">
        <v>462</v>
      </c>
    </row>
    <row r="21" spans="2:10" ht="12.75">
      <c r="B21" t="s">
        <v>469</v>
      </c>
      <c r="D21" t="s">
        <v>470</v>
      </c>
      <c r="J21" s="4" t="s">
        <v>468</v>
      </c>
    </row>
    <row r="22" spans="2:4" ht="12.75">
      <c r="B22" s="63" t="s">
        <v>561</v>
      </c>
      <c r="C22" s="63"/>
      <c r="D22" s="63" t="s">
        <v>562</v>
      </c>
    </row>
    <row r="23" spans="2:10" ht="12.75">
      <c r="B23" t="s">
        <v>596</v>
      </c>
      <c r="D23" t="s">
        <v>56</v>
      </c>
      <c r="J23" s="4" t="s">
        <v>583</v>
      </c>
    </row>
    <row r="25" ht="12.75">
      <c r="J25" s="4" t="s">
        <v>380</v>
      </c>
    </row>
    <row r="26" ht="12.75">
      <c r="J26" t="s">
        <v>296</v>
      </c>
    </row>
    <row r="27" ht="12.75">
      <c r="J27" t="s">
        <v>297</v>
      </c>
    </row>
  </sheetData>
  <hyperlinks>
    <hyperlink ref="J12" r:id="rId1" display="http://www.biodiesel.org/pdf_files/fuelfactsheets/BTU_Content_Final_Oct2005.pdf"/>
    <hyperlink ref="J14" r:id="rId2" display="http://www.ior.com.au/ecflist.html"/>
    <hyperlink ref="J25" r:id="rId3" display="http://www.eppo.go.th/ref/UNIT-OIL.html"/>
    <hyperlink ref="J15" r:id="rId4" display="http://www.gulfoilandgas.com/Webpro1/Oil/approxEnergyContent.asp"/>
    <hyperlink ref="J16" r:id="rId5" display="http://tonto.eia.doe.gov/FTPROOT/alternativefuels/0585o.pdf"/>
    <hyperlink ref="J17" r:id="rId6" display="http://www.eere.doe.gov/afdc/progs/display_all_faq.cgi?afdc%7C0"/>
    <hyperlink ref="J19" r:id="rId7" display="http://www.localenergy.org/pdfs/Document%20Library/Bioenergy%20conversion%20factors.pdf"/>
    <hyperlink ref="J20" r:id="rId8" display="http://www.uniongas.com/aboutus/aboutng/composition.asp"/>
    <hyperlink ref="J21" r:id="rId9" display="http://www.princeton.edu/~cmi/resources/Wedges/Gas%20baseload%20power%20for%20coal%20power8.16.pdf"/>
    <hyperlink ref="J11" r:id="rId10" display="http://www.unc.edu/~rowlett/units/"/>
    <hyperlink ref="J23" r:id="rId11" display="International Energy Outlook 2005"/>
    <hyperlink ref="J4" r:id="rId12" display="http://tonto.eia.doe.gov/FTPROOT/monthlyhistory.htm"/>
    <hyperlink ref="J8" r:id="rId13" display="http://www.iea.org/dbtw-wpd/Textbase/stats/unit.asp"/>
    <hyperlink ref="J9" r:id="rId14" display="http://www.spe.org/spe/jsp/basic/0,,1104_1732,00.html"/>
    <hyperlink ref="J7" r:id="rId15" display="http://www.iea.org/Textbase/publications/free_new_Desc.asp?PUBS_ID=1461"/>
    <hyperlink ref="J10" r:id="rId16" display="http://www.grantprideco.com/engineering/converter/#"/>
    <hyperlink ref="J6" r:id="rId17" display="http://www.eia.doe.gov/emeu/ipsr/appe1.txt"/>
  </hyperlinks>
  <printOptions/>
  <pageMargins left="0.75" right="0.75" top="1" bottom="1" header="0.5" footer="0.5"/>
  <pageSetup horizontalDpi="1200" verticalDpi="1200" orientation="portrait" r:id="rId18"/>
</worksheet>
</file>

<file path=xl/worksheets/sheet2.xml><?xml version="1.0" encoding="utf-8"?>
<worksheet xmlns="http://schemas.openxmlformats.org/spreadsheetml/2006/main" xmlns:r="http://schemas.openxmlformats.org/officeDocument/2006/relationships">
  <dimension ref="B3:J38"/>
  <sheetViews>
    <sheetView workbookViewId="0" topLeftCell="A1">
      <selection activeCell="E13" sqref="E13"/>
    </sheetView>
  </sheetViews>
  <sheetFormatPr defaultColWidth="9.140625" defaultRowHeight="12.75"/>
  <cols>
    <col min="1" max="1" width="3.00390625" style="0" customWidth="1"/>
    <col min="2" max="2" width="6.140625" style="0" customWidth="1"/>
    <col min="4" max="5" width="6.57421875" style="0" customWidth="1"/>
    <col min="6" max="6" width="72.8515625" style="0" customWidth="1"/>
  </cols>
  <sheetData>
    <row r="3" spans="2:10" s="3" customFormat="1" ht="12.75">
      <c r="B3" s="3" t="s">
        <v>1</v>
      </c>
      <c r="C3" s="3" t="s">
        <v>579</v>
      </c>
      <c r="D3" s="3" t="s">
        <v>57</v>
      </c>
      <c r="E3" s="3" t="s">
        <v>581</v>
      </c>
      <c r="J3" s="3" t="s">
        <v>58</v>
      </c>
    </row>
    <row r="4" spans="2:10" ht="12.75">
      <c r="B4" t="s">
        <v>514</v>
      </c>
      <c r="C4" t="s">
        <v>520</v>
      </c>
      <c r="D4" s="63">
        <v>1</v>
      </c>
      <c r="E4" t="s">
        <v>20</v>
      </c>
      <c r="G4" s="61" t="s">
        <v>552</v>
      </c>
      <c r="H4" s="70" t="s">
        <v>511</v>
      </c>
      <c r="I4" s="70" t="s">
        <v>545</v>
      </c>
      <c r="J4" s="3" t="str">
        <f>CONCATENATE(G4,B4,H4,C4,H4,E4,H4,D4,I4)</f>
        <v>$prefixs[] = array('N', ' ------ ', 'One. Multiplying by one has no affect.', '1');</v>
      </c>
    </row>
    <row r="5" spans="2:10" ht="12.75">
      <c r="B5" t="s">
        <v>492</v>
      </c>
      <c r="C5" t="s">
        <v>23</v>
      </c>
      <c r="D5" s="63">
        <v>10</v>
      </c>
      <c r="E5" t="s">
        <v>559</v>
      </c>
      <c r="G5" s="61" t="s">
        <v>552</v>
      </c>
      <c r="H5" s="70" t="s">
        <v>511</v>
      </c>
      <c r="I5" s="70" t="s">
        <v>545</v>
      </c>
      <c r="J5" s="3" t="str">
        <f>CONCATENATE(G5,B5,H5,C5,H5,E5,H5,D5,I5)</f>
        <v>$prefixs[] = array('D', 'D, deka', 'Ten', '10');</v>
      </c>
    </row>
    <row r="6" spans="2:10" ht="12.75">
      <c r="B6" t="s">
        <v>515</v>
      </c>
      <c r="C6" t="s">
        <v>24</v>
      </c>
      <c r="D6" s="63">
        <v>1000</v>
      </c>
      <c r="E6" t="s">
        <v>558</v>
      </c>
      <c r="G6" s="61" t="s">
        <v>552</v>
      </c>
      <c r="H6" s="70" t="s">
        <v>511</v>
      </c>
      <c r="I6" s="70" t="s">
        <v>545</v>
      </c>
      <c r="J6" s="3" t="str">
        <f>CONCATENATE(G6,B6,H6,C6,H6,E6,H6,D6,I6)</f>
        <v>$prefixs[] = array('k', 'k, kilo', 'One thousand', '1000');</v>
      </c>
    </row>
    <row r="7" spans="2:10" ht="12.75">
      <c r="B7" t="s">
        <v>516</v>
      </c>
      <c r="C7" t="s">
        <v>25</v>
      </c>
      <c r="D7" s="63" t="s">
        <v>522</v>
      </c>
      <c r="E7" t="s">
        <v>557</v>
      </c>
      <c r="G7" s="61" t="s">
        <v>552</v>
      </c>
      <c r="H7" s="70" t="s">
        <v>511</v>
      </c>
      <c r="I7" s="70" t="s">
        <v>545</v>
      </c>
      <c r="J7" s="3" t="str">
        <f>CONCATENATE(G7,B7,H7,C7,H7,E7,H7,D7,I7)</f>
        <v>$prefixs[] = array('M', 'M, mega', 'One million, 6 zeros.', '1e6');</v>
      </c>
    </row>
    <row r="8" spans="2:10" ht="12.75">
      <c r="B8" t="s">
        <v>233</v>
      </c>
      <c r="C8" t="s">
        <v>26</v>
      </c>
      <c r="D8" s="63" t="s">
        <v>526</v>
      </c>
      <c r="E8" t="s">
        <v>555</v>
      </c>
      <c r="G8" s="61" t="s">
        <v>552</v>
      </c>
      <c r="H8" s="70" t="s">
        <v>511</v>
      </c>
      <c r="I8" s="70" t="s">
        <v>545</v>
      </c>
      <c r="J8" s="3" t="str">
        <f>CONCATENATE(G8,B8,H8,C8,H8,E8,H8,D8,I8)</f>
        <v>$prefixs[] = array('G', 'G, giga', 'One billion, 9 zeros.', '1e9');</v>
      </c>
    </row>
    <row r="9" spans="2:10" ht="12.75">
      <c r="B9" t="s">
        <v>517</v>
      </c>
      <c r="C9" t="s">
        <v>27</v>
      </c>
      <c r="D9" s="63" t="s">
        <v>525</v>
      </c>
      <c r="E9" t="s">
        <v>556</v>
      </c>
      <c r="G9" s="61" t="s">
        <v>552</v>
      </c>
      <c r="H9" s="70" t="s">
        <v>511</v>
      </c>
      <c r="I9" s="70" t="s">
        <v>545</v>
      </c>
      <c r="J9" s="3" t="str">
        <f>CONCATENATE(G9,B9,H9,C9,H9,E9,H9,D9,I9)</f>
        <v>$prefixs[] = array('T', 'T, tera', 'One trillion, 12 zeros.', '1e12');</v>
      </c>
    </row>
    <row r="10" spans="2:10" ht="12.75">
      <c r="B10" t="s">
        <v>184</v>
      </c>
      <c r="C10" t="s">
        <v>98</v>
      </c>
      <c r="D10" s="63" t="s">
        <v>524</v>
      </c>
      <c r="E10" t="s">
        <v>22</v>
      </c>
      <c r="G10" s="61" t="s">
        <v>552</v>
      </c>
      <c r="H10" s="70" t="s">
        <v>511</v>
      </c>
      <c r="I10" s="70" t="s">
        <v>545</v>
      </c>
      <c r="J10" s="3" t="str">
        <f>CONCATENATE(G10,B10,H10,C10,H10,E10,H10,D10,I10)</f>
        <v>$prefixs[] = array('Quad', 'Quad, quadrillion ', 'One quadrillion, 15 zeros. Used mainly with Btu. One "Quad" is short for 1 Quad Btu. (English version of the metric prefix peta (P).', '1e15');</v>
      </c>
    </row>
    <row r="11" spans="2:10" ht="12.75">
      <c r="B11" t="s">
        <v>518</v>
      </c>
      <c r="C11" t="s">
        <v>28</v>
      </c>
      <c r="D11" s="63" t="s">
        <v>524</v>
      </c>
      <c r="E11" t="s">
        <v>21</v>
      </c>
      <c r="G11" s="61" t="s">
        <v>552</v>
      </c>
      <c r="H11" s="70" t="s">
        <v>511</v>
      </c>
      <c r="I11" s="70" t="s">
        <v>545</v>
      </c>
      <c r="J11" s="3" t="str">
        <f>CONCATENATE(G11,B11,H11,C11,H11,E11,H11,D11,I11)</f>
        <v>$prefixs[] = array('P', 'P, peta', 'One quadrillion, 15 zeros.', '1e15');</v>
      </c>
    </row>
    <row r="12" spans="2:10" ht="12.75">
      <c r="B12" t="s">
        <v>521</v>
      </c>
      <c r="C12" t="s">
        <v>29</v>
      </c>
      <c r="D12" s="63" t="s">
        <v>523</v>
      </c>
      <c r="E12" t="s">
        <v>554</v>
      </c>
      <c r="G12" s="61" t="s">
        <v>552</v>
      </c>
      <c r="H12" s="70" t="s">
        <v>511</v>
      </c>
      <c r="I12" s="70" t="s">
        <v>545</v>
      </c>
      <c r="J12" s="3" t="str">
        <f>CONCATENATE(G12,B12,H12,C12,H12,E12,H12,D12,I12)</f>
        <v>$prefixs[] = array('E', 'E, exa', 'Billion billion, 18 zeros.', '1e18');</v>
      </c>
    </row>
    <row r="13" spans="2:10" ht="12.75">
      <c r="B13" t="s">
        <v>519</v>
      </c>
      <c r="C13" t="s">
        <v>99</v>
      </c>
      <c r="D13" s="63" t="s">
        <v>522</v>
      </c>
      <c r="E13" t="s">
        <v>100</v>
      </c>
      <c r="G13" s="61" t="s">
        <v>552</v>
      </c>
      <c r="H13" s="70" t="s">
        <v>511</v>
      </c>
      <c r="I13" s="70" t="s">
        <v>545</v>
      </c>
      <c r="J13" s="3" t="str">
        <f>CONCATENATE(G13,B13,H13,C13,H13,E13,H13,D13,I13)</f>
        <v>$prefixs[] = array('MM', 'MM, million ', 'One million (6 zeros). Not used with electricity or in the metric system. MM was meant to indicate one thousand thousand, M being the Roman numeral 1000. However, MM actually means 2000, not one million, in Roman numeration. Still used in some traditional units such as MMBtu and MMb (million barrels of oil). ', '1e6');</v>
      </c>
    </row>
    <row r="18" spans="3:6" ht="12.75">
      <c r="C18" t="s">
        <v>225</v>
      </c>
      <c r="F18" s="3" t="s">
        <v>365</v>
      </c>
    </row>
    <row r="19" spans="2:6" ht="12.75">
      <c r="B19" s="2" t="s">
        <v>41</v>
      </c>
      <c r="C19">
        <v>24</v>
      </c>
      <c r="D19" t="s">
        <v>135</v>
      </c>
      <c r="F19" t="s">
        <v>353</v>
      </c>
    </row>
    <row r="20" spans="2:6" ht="12.75">
      <c r="B20" s="2" t="s">
        <v>40</v>
      </c>
      <c r="C20">
        <v>21</v>
      </c>
      <c r="D20" t="s">
        <v>136</v>
      </c>
      <c r="F20" t="s">
        <v>354</v>
      </c>
    </row>
    <row r="21" spans="2:6" ht="12.75">
      <c r="B21" s="2" t="s">
        <v>521</v>
      </c>
      <c r="C21">
        <v>18</v>
      </c>
      <c r="D21" t="s">
        <v>137</v>
      </c>
      <c r="F21" t="s">
        <v>355</v>
      </c>
    </row>
    <row r="22" spans="2:6" ht="12.75">
      <c r="B22" s="2" t="s">
        <v>518</v>
      </c>
      <c r="C22">
        <v>15</v>
      </c>
      <c r="D22" t="s">
        <v>138</v>
      </c>
      <c r="F22" t="s">
        <v>356</v>
      </c>
    </row>
    <row r="23" spans="2:6" ht="12.75">
      <c r="B23" s="2" t="s">
        <v>517</v>
      </c>
      <c r="C23">
        <v>12</v>
      </c>
      <c r="D23" t="s">
        <v>139</v>
      </c>
      <c r="F23" t="s">
        <v>357</v>
      </c>
    </row>
    <row r="24" spans="2:6" ht="12.75">
      <c r="B24" s="2" t="s">
        <v>233</v>
      </c>
      <c r="C24">
        <v>9</v>
      </c>
      <c r="D24" t="s">
        <v>140</v>
      </c>
      <c r="F24" t="s">
        <v>358</v>
      </c>
    </row>
    <row r="25" spans="2:6" ht="12.75">
      <c r="B25" s="2" t="s">
        <v>516</v>
      </c>
      <c r="C25">
        <v>6</v>
      </c>
      <c r="D25" t="s">
        <v>141</v>
      </c>
      <c r="F25" t="s">
        <v>359</v>
      </c>
    </row>
    <row r="26" spans="2:6" ht="12.75">
      <c r="B26" s="2" t="s">
        <v>515</v>
      </c>
      <c r="C26">
        <v>3</v>
      </c>
      <c r="D26" t="s">
        <v>142</v>
      </c>
      <c r="F26" t="s">
        <v>360</v>
      </c>
    </row>
    <row r="27" spans="2:6" ht="12.75">
      <c r="B27" s="2" t="s">
        <v>39</v>
      </c>
      <c r="C27">
        <v>2</v>
      </c>
      <c r="D27" t="s">
        <v>143</v>
      </c>
      <c r="F27" t="s">
        <v>361</v>
      </c>
    </row>
    <row r="28" spans="2:6" ht="12.75">
      <c r="B28" s="2" t="s">
        <v>39</v>
      </c>
      <c r="C28">
        <v>1</v>
      </c>
      <c r="D28" t="s">
        <v>144</v>
      </c>
      <c r="F28" t="s">
        <v>362</v>
      </c>
    </row>
    <row r="29" spans="2:6" ht="12.75">
      <c r="B29" s="2" t="s">
        <v>38</v>
      </c>
      <c r="C29">
        <v>-1</v>
      </c>
      <c r="D29" t="s">
        <v>145</v>
      </c>
      <c r="F29" t="s">
        <v>363</v>
      </c>
    </row>
    <row r="30" spans="2:6" ht="12.75">
      <c r="B30" s="2" t="s">
        <v>37</v>
      </c>
      <c r="C30">
        <v>-2</v>
      </c>
      <c r="D30" t="s">
        <v>146</v>
      </c>
      <c r="F30" t="s">
        <v>364</v>
      </c>
    </row>
    <row r="31" spans="2:4" ht="12.75">
      <c r="B31" s="2" t="s">
        <v>42</v>
      </c>
      <c r="C31">
        <v>-3</v>
      </c>
      <c r="D31" t="s">
        <v>147</v>
      </c>
    </row>
    <row r="32" spans="2:4" ht="12.75">
      <c r="B32" s="2" t="s">
        <v>36</v>
      </c>
      <c r="C32">
        <v>-6</v>
      </c>
      <c r="D32" t="s">
        <v>148</v>
      </c>
    </row>
    <row r="33" spans="2:6" ht="12.75">
      <c r="B33" s="2" t="s">
        <v>35</v>
      </c>
      <c r="C33">
        <v>-9</v>
      </c>
      <c r="D33" t="s">
        <v>149</v>
      </c>
      <c r="F33" t="s">
        <v>381</v>
      </c>
    </row>
    <row r="34" spans="2:6" ht="12.75">
      <c r="B34" s="2" t="s">
        <v>34</v>
      </c>
      <c r="C34">
        <v>-12</v>
      </c>
      <c r="D34" t="s">
        <v>150</v>
      </c>
      <c r="F34" t="s">
        <v>382</v>
      </c>
    </row>
    <row r="35" spans="2:6" ht="12.75">
      <c r="B35" s="2" t="s">
        <v>33</v>
      </c>
      <c r="C35">
        <v>-15</v>
      </c>
      <c r="D35" t="s">
        <v>151</v>
      </c>
      <c r="F35" t="s">
        <v>383</v>
      </c>
    </row>
    <row r="36" spans="2:4" ht="12.75">
      <c r="B36" s="2" t="s">
        <v>32</v>
      </c>
      <c r="C36">
        <f>-18</f>
        <v>-18</v>
      </c>
      <c r="D36" t="s">
        <v>152</v>
      </c>
    </row>
    <row r="37" spans="2:4" ht="12.75">
      <c r="B37" s="2" t="s">
        <v>31</v>
      </c>
      <c r="C37">
        <v>-21</v>
      </c>
      <c r="D37" t="s">
        <v>153</v>
      </c>
    </row>
    <row r="38" spans="2:4" ht="12.75">
      <c r="B38" s="2" t="s">
        <v>30</v>
      </c>
      <c r="C38">
        <v>-24</v>
      </c>
      <c r="D38" t="s">
        <v>154</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U53"/>
  <sheetViews>
    <sheetView tabSelected="1" workbookViewId="0" topLeftCell="A1">
      <pane xSplit="3" topLeftCell="K1" activePane="topRight" state="frozen"/>
      <selection pane="topLeft" activeCell="A2" sqref="A2"/>
      <selection pane="topRight" activeCell="P24" sqref="P24"/>
    </sheetView>
  </sheetViews>
  <sheetFormatPr defaultColWidth="9.140625" defaultRowHeight="12.75"/>
  <cols>
    <col min="3" max="3" width="22.8515625" style="0" customWidth="1"/>
    <col min="4" max="4" width="13.28125" style="0" customWidth="1"/>
    <col min="5" max="5" width="7.00390625" style="0" customWidth="1"/>
    <col min="6" max="6" width="17.140625" style="0" customWidth="1"/>
    <col min="10" max="10" width="14.57421875" style="0" customWidth="1"/>
    <col min="11" max="11" width="5.140625" style="0" customWidth="1"/>
    <col min="12" max="12" width="7.28125" style="0" customWidth="1"/>
    <col min="13" max="13" width="13.7109375" style="0" customWidth="1"/>
    <col min="14" max="14" width="33.28125" style="0" customWidth="1"/>
    <col min="15" max="15" width="22.28125" style="0" customWidth="1"/>
    <col min="16" max="16" width="38.421875" style="0" customWidth="1"/>
    <col min="18" max="18" width="3.8515625" style="0" customWidth="1"/>
    <col min="19" max="19" width="4.28125" style="0" customWidth="1"/>
    <col min="20" max="20" width="2.8515625" style="0" customWidth="1"/>
  </cols>
  <sheetData>
    <row r="1" spans="1:16" ht="12.75">
      <c r="A1" s="80"/>
      <c r="B1" s="80"/>
      <c r="C1" s="81" t="s">
        <v>50</v>
      </c>
      <c r="D1" s="80"/>
      <c r="E1" s="80"/>
      <c r="F1" s="80"/>
      <c r="G1" s="80"/>
      <c r="H1" s="80"/>
      <c r="I1" s="18"/>
      <c r="J1" s="18"/>
      <c r="K1" s="18"/>
      <c r="L1" s="18"/>
      <c r="M1" s="19" t="s">
        <v>49</v>
      </c>
      <c r="N1" s="18"/>
      <c r="O1" s="18"/>
      <c r="P1" s="18"/>
    </row>
    <row r="2" spans="2:9" ht="12.75">
      <c r="B2" t="s">
        <v>2</v>
      </c>
      <c r="I2" t="s">
        <v>48</v>
      </c>
    </row>
    <row r="3" spans="2:21" s="3" customFormat="1" ht="12.75">
      <c r="B3" s="3" t="s">
        <v>67</v>
      </c>
      <c r="C3" s="3" t="s">
        <v>46</v>
      </c>
      <c r="F3" s="3" t="s">
        <v>188</v>
      </c>
      <c r="I3" s="3" t="s">
        <v>580</v>
      </c>
      <c r="J3" s="14" t="s">
        <v>204</v>
      </c>
      <c r="O3" s="3" t="s">
        <v>579</v>
      </c>
      <c r="P3" s="3" t="s">
        <v>581</v>
      </c>
      <c r="U3" s="3" t="s">
        <v>58</v>
      </c>
    </row>
    <row r="4" spans="1:21" ht="12.75">
      <c r="A4" s="3" t="s">
        <v>125</v>
      </c>
      <c r="B4" t="str">
        <f>I4</f>
        <v>J</v>
      </c>
      <c r="C4" t="str">
        <f>O4</f>
        <v>J, joule(s)</v>
      </c>
      <c r="D4">
        <v>1</v>
      </c>
      <c r="E4" t="s">
        <v>134</v>
      </c>
      <c r="F4" s="1" t="s">
        <v>189</v>
      </c>
      <c r="I4" t="s">
        <v>134</v>
      </c>
      <c r="J4" s="40">
        <v>1</v>
      </c>
      <c r="K4">
        <f>FLOOR(LOG(J4),1)</f>
        <v>0</v>
      </c>
      <c r="L4" s="39">
        <f aca="true" t="shared" si="0" ref="L4:L18">J4/(10^K4)</f>
        <v>1</v>
      </c>
      <c r="M4" s="47" t="str">
        <f>FIXED(L4,7)&amp;"e"&amp;K4</f>
        <v>1.0000000e0</v>
      </c>
      <c r="N4" s="12">
        <f aca="true" t="shared" si="1" ref="N4:N18">J4</f>
        <v>1</v>
      </c>
      <c r="O4" s="64" t="s">
        <v>4</v>
      </c>
      <c r="P4" s="64" t="s">
        <v>668</v>
      </c>
      <c r="Q4" s="61" t="s">
        <v>546</v>
      </c>
      <c r="R4" s="70" t="s">
        <v>511</v>
      </c>
      <c r="S4" s="70" t="s">
        <v>545</v>
      </c>
      <c r="U4" s="65" t="str">
        <f>CONCATENATE(Q4,I4,R4,O4,R4,P4,R4,M4,S4)</f>
        <v>$eUnits[] = array('J', 'J, joule(s)', 'One watt second. The energy used by a 1 watt light bulb (e.g. ~ for a flashlight) in 1 second.', '1.0000000e0');</v>
      </c>
    </row>
    <row r="5" spans="2:21" ht="12.75">
      <c r="B5" t="str">
        <f aca="true" t="shared" si="2" ref="B5:B18">I5</f>
        <v>ft-lb</v>
      </c>
      <c r="C5" t="str">
        <f aca="true" t="shared" si="3" ref="C5:C18">O5</f>
        <v>ft-lb, foot-pound(s)</v>
      </c>
      <c r="D5">
        <v>1.3558179</v>
      </c>
      <c r="E5" t="s">
        <v>134</v>
      </c>
      <c r="F5" t="s">
        <v>208</v>
      </c>
      <c r="I5" t="s">
        <v>177</v>
      </c>
      <c r="J5" s="40">
        <f>D5</f>
        <v>1.3558179</v>
      </c>
      <c r="K5">
        <f aca="true" t="shared" si="4" ref="K5:K18">FLOOR(LOG(J5),1)</f>
        <v>0</v>
      </c>
      <c r="L5" s="39">
        <f t="shared" si="0"/>
        <v>1.3558179</v>
      </c>
      <c r="M5" s="47" t="str">
        <f aca="true" t="shared" si="5" ref="M5:M18">FIXED(L5,7)&amp;"e"&amp;K5</f>
        <v>1.3558179e0</v>
      </c>
      <c r="N5" s="12">
        <f t="shared" si="1"/>
        <v>1.3558179</v>
      </c>
      <c r="O5" s="64" t="s">
        <v>91</v>
      </c>
      <c r="P5" s="64" t="s">
        <v>14</v>
      </c>
      <c r="Q5" s="61" t="s">
        <v>546</v>
      </c>
      <c r="R5" s="70" t="s">
        <v>511</v>
      </c>
      <c r="S5" s="70" t="s">
        <v>545</v>
      </c>
      <c r="U5" s="65" t="str">
        <f>CONCATENATE(Q5,I5,R5,O5,R5,P5,R5,M5,S5)</f>
        <v>$eUnits[] = array('ft-lb', 'ft-lb, foot-pound(s)', 'The energy required to raise 1 pound by 1 foot.', '1.3558179e0');</v>
      </c>
    </row>
    <row r="6" spans="2:21" ht="12.75">
      <c r="B6" t="str">
        <f t="shared" si="2"/>
        <v>Cal</v>
      </c>
      <c r="C6" t="str">
        <f t="shared" si="3"/>
        <v>cal, calorie(s)</v>
      </c>
      <c r="D6">
        <v>4.1868</v>
      </c>
      <c r="E6" t="s">
        <v>134</v>
      </c>
      <c r="F6" t="s">
        <v>187</v>
      </c>
      <c r="I6" t="s">
        <v>176</v>
      </c>
      <c r="J6" s="40">
        <f>D6</f>
        <v>4.1868</v>
      </c>
      <c r="K6">
        <f t="shared" si="4"/>
        <v>0</v>
      </c>
      <c r="L6" s="39">
        <f t="shared" si="0"/>
        <v>4.1868</v>
      </c>
      <c r="M6" s="47" t="str">
        <f t="shared" si="5"/>
        <v>4.1868000e0</v>
      </c>
      <c r="N6" s="12">
        <f t="shared" si="1"/>
        <v>4.1868</v>
      </c>
      <c r="O6" s="64" t="s">
        <v>13</v>
      </c>
      <c r="P6" s="64" t="s">
        <v>0</v>
      </c>
      <c r="Q6" s="61" t="s">
        <v>546</v>
      </c>
      <c r="R6" s="70" t="s">
        <v>511</v>
      </c>
      <c r="S6" s="70" t="s">
        <v>545</v>
      </c>
      <c r="U6" s="65" t="str">
        <f>CONCATENATE(Q6,I6,R6,O6,R6,P6,R6,M6,S6)</f>
        <v>$eUnits[] = array('Cal', 'cal, calorie(s)', 'The energy needed to raise the temperagure of 1 gram of water 1 degree Centigrade.', '4.1868000e0');</v>
      </c>
    </row>
    <row r="7" spans="2:21" ht="12.75">
      <c r="B7" t="str">
        <f t="shared" si="2"/>
        <v>Btu</v>
      </c>
      <c r="C7" t="str">
        <f t="shared" si="3"/>
        <v>Btu, British thermal unit(s)</v>
      </c>
      <c r="D7">
        <v>1055.05585262</v>
      </c>
      <c r="E7" t="s">
        <v>134</v>
      </c>
      <c r="F7" t="s">
        <v>187</v>
      </c>
      <c r="I7" t="s">
        <v>129</v>
      </c>
      <c r="J7" s="40">
        <f>D7</f>
        <v>1055.05585262</v>
      </c>
      <c r="K7">
        <f t="shared" si="4"/>
        <v>3</v>
      </c>
      <c r="L7" s="39">
        <f t="shared" si="0"/>
        <v>1.05505585262</v>
      </c>
      <c r="M7" s="47" t="str">
        <f t="shared" si="5"/>
        <v>1.0550559e3</v>
      </c>
      <c r="N7" s="12">
        <f t="shared" si="1"/>
        <v>1055.05585262</v>
      </c>
      <c r="O7" s="64" t="s">
        <v>93</v>
      </c>
      <c r="P7" s="64" t="s">
        <v>15</v>
      </c>
      <c r="Q7" s="61" t="s">
        <v>546</v>
      </c>
      <c r="R7" s="70" t="s">
        <v>511</v>
      </c>
      <c r="S7" s="70" t="s">
        <v>545</v>
      </c>
      <c r="U7" s="65" t="str">
        <f>CONCATENATE(Q7,I7,R7,O7,R7,P7,R7,M7,S7)</f>
        <v>$eUnits[] = array('Btu', 'Btu, British thermal unit(s)', 'A Btu (or BTU) is a British thermal unit, the energy needed to heat 1 pound of water 1 degree Fahrenheit.', '1.0550559e3');</v>
      </c>
    </row>
    <row r="8" spans="2:21" ht="12.75">
      <c r="B8" t="str">
        <f t="shared" si="2"/>
        <v>Wh</v>
      </c>
      <c r="C8" t="str">
        <f t="shared" si="3"/>
        <v>Wh, watt-hour(s)</v>
      </c>
      <c r="D8">
        <f>60*60</f>
        <v>3600</v>
      </c>
      <c r="E8" t="s">
        <v>134</v>
      </c>
      <c r="F8" t="s">
        <v>190</v>
      </c>
      <c r="I8" t="s">
        <v>158</v>
      </c>
      <c r="J8" s="40">
        <f>D8</f>
        <v>3600</v>
      </c>
      <c r="K8">
        <f t="shared" si="4"/>
        <v>3</v>
      </c>
      <c r="L8" s="39">
        <f t="shared" si="0"/>
        <v>3.6</v>
      </c>
      <c r="M8" s="47" t="str">
        <f t="shared" si="5"/>
        <v>3.6000000e3</v>
      </c>
      <c r="N8" s="12">
        <f t="shared" si="1"/>
        <v>3600</v>
      </c>
      <c r="O8" s="64" t="s">
        <v>5</v>
      </c>
      <c r="P8" s="64" t="s">
        <v>123</v>
      </c>
      <c r="Q8" s="61" t="s">
        <v>546</v>
      </c>
      <c r="R8" s="70" t="s">
        <v>511</v>
      </c>
      <c r="S8" s="70" t="s">
        <v>545</v>
      </c>
      <c r="U8" s="65" t="str">
        <f aca="true" t="shared" si="6" ref="U8:U18">CONCATENATE(Q8,I8,R8,O8,R8,P8,R8,M8,S8)</f>
        <v>$eUnits[] = array('Wh', 'Wh, watt-hour(s)', 'One watt for one hour. The energy needed to light one 60 watt light bulb for one minute.', '3.6000000e3');</v>
      </c>
    </row>
    <row r="9" spans="2:21" ht="12.75">
      <c r="B9" t="str">
        <f t="shared" si="2"/>
        <v>kCal</v>
      </c>
      <c r="C9" t="str">
        <f t="shared" si="3"/>
        <v>kcal, food calorie(s)</v>
      </c>
      <c r="D9">
        <f>1000*D6</f>
        <v>4186.8</v>
      </c>
      <c r="E9" t="s">
        <v>134</v>
      </c>
      <c r="F9" t="s">
        <v>191</v>
      </c>
      <c r="I9" t="s">
        <v>178</v>
      </c>
      <c r="J9" s="40">
        <f>D9</f>
        <v>4186.8</v>
      </c>
      <c r="K9">
        <f t="shared" si="4"/>
        <v>3</v>
      </c>
      <c r="L9" s="39">
        <f t="shared" si="0"/>
        <v>4.1868</v>
      </c>
      <c r="M9" s="47" t="str">
        <f t="shared" si="5"/>
        <v>4.1868000e3</v>
      </c>
      <c r="N9" s="12">
        <f t="shared" si="1"/>
        <v>4186.8</v>
      </c>
      <c r="O9" s="64" t="s">
        <v>12</v>
      </c>
      <c r="P9" s="64" t="s">
        <v>16</v>
      </c>
      <c r="Q9" s="61" t="s">
        <v>546</v>
      </c>
      <c r="R9" s="70" t="s">
        <v>511</v>
      </c>
      <c r="S9" s="70" t="s">
        <v>545</v>
      </c>
      <c r="U9" s="65" t="str">
        <f t="shared" si="6"/>
        <v>$eUnits[] = array('kCal', 'kcal, food calorie(s)', 'The energy need to heat 1 kilogram (2.2 pounds) of water 1 deg. C', '4.1868000e3');</v>
      </c>
    </row>
    <row r="10" spans="2:21" ht="12.75">
      <c r="B10" t="str">
        <f t="shared" si="2"/>
        <v>MJ</v>
      </c>
      <c r="C10" t="str">
        <f t="shared" si="3"/>
        <v>MJ, mega joule(s)</v>
      </c>
      <c r="I10" t="s">
        <v>551</v>
      </c>
      <c r="J10" s="40">
        <f>1000000</f>
        <v>1000000</v>
      </c>
      <c r="K10">
        <f t="shared" si="4"/>
        <v>6</v>
      </c>
      <c r="L10" s="39">
        <f t="shared" si="0"/>
        <v>1</v>
      </c>
      <c r="M10" s="47" t="str">
        <f t="shared" si="5"/>
        <v>1.0000000e6</v>
      </c>
      <c r="N10" s="12">
        <f t="shared" si="1"/>
        <v>1000000</v>
      </c>
      <c r="O10" s="64" t="s">
        <v>3</v>
      </c>
      <c r="P10" s="64" t="s">
        <v>17</v>
      </c>
      <c r="Q10" s="61" t="s">
        <v>546</v>
      </c>
      <c r="R10" s="70" t="s">
        <v>511</v>
      </c>
      <c r="S10" s="70" t="s">
        <v>545</v>
      </c>
      <c r="U10" s="65" t="str">
        <f>CONCATENATE(Q10,I10,R10,O10,R10,P10,R10,M10,S10)</f>
        <v>$eUnits[] = array('MJ', 'MJ, mega joule(s)', 'One million joules. (A joule is a watt-second, or 1/1055 Btu).', '1.0000000e6');</v>
      </c>
    </row>
    <row r="11" spans="2:21" ht="12.75">
      <c r="B11" t="str">
        <f t="shared" si="2"/>
        <v>hp-hr</v>
      </c>
      <c r="C11" t="str">
        <f t="shared" si="3"/>
        <v>hp hr, horsepower hours(s)</v>
      </c>
      <c r="D11" s="8">
        <v>2684519</v>
      </c>
      <c r="E11" t="s">
        <v>134</v>
      </c>
      <c r="F11" t="s">
        <v>203</v>
      </c>
      <c r="I11" t="s">
        <v>179</v>
      </c>
      <c r="J11" s="40">
        <f>D11</f>
        <v>2684519</v>
      </c>
      <c r="K11">
        <f t="shared" si="4"/>
        <v>6</v>
      </c>
      <c r="L11" s="39">
        <f t="shared" si="0"/>
        <v>2.684519</v>
      </c>
      <c r="M11" s="47" t="str">
        <f t="shared" si="5"/>
        <v>2.6845190e6</v>
      </c>
      <c r="N11" s="12">
        <f t="shared" si="1"/>
        <v>2684519</v>
      </c>
      <c r="O11" s="64" t="s">
        <v>92</v>
      </c>
      <c r="P11" s="64" t="s">
        <v>18</v>
      </c>
      <c r="Q11" s="61" t="s">
        <v>546</v>
      </c>
      <c r="R11" s="70" t="s">
        <v>511</v>
      </c>
      <c r="S11" s="70" t="s">
        <v>545</v>
      </c>
      <c r="U11" s="65" t="str">
        <f t="shared" si="6"/>
        <v>$eUnits[] = array('hp-hr', 'hp hr, horsepower hours(s)', 'The energy provided by a horse pulling a load for one hour.', '2.6845190e6');</v>
      </c>
    </row>
    <row r="12" spans="2:21" ht="12.75">
      <c r="B12" t="str">
        <f t="shared" si="2"/>
        <v>therm</v>
      </c>
      <c r="C12" t="str">
        <f t="shared" si="3"/>
        <v>thm, therm(s)</v>
      </c>
      <c r="D12" s="8">
        <v>100000</v>
      </c>
      <c r="E12" t="s">
        <v>129</v>
      </c>
      <c r="F12" t="s">
        <v>192</v>
      </c>
      <c r="I12" t="s">
        <v>180</v>
      </c>
      <c r="J12" s="9">
        <f>D12*D7</f>
        <v>105505585.262</v>
      </c>
      <c r="K12">
        <f t="shared" si="4"/>
        <v>8</v>
      </c>
      <c r="L12" s="39">
        <f t="shared" si="0"/>
        <v>1.05505585262</v>
      </c>
      <c r="M12" s="47" t="str">
        <f t="shared" si="5"/>
        <v>1.0550559e8</v>
      </c>
      <c r="N12" s="12">
        <f t="shared" si="1"/>
        <v>105505585.262</v>
      </c>
      <c r="O12" s="64" t="s">
        <v>6</v>
      </c>
      <c r="P12" s="64" t="s">
        <v>19</v>
      </c>
      <c r="Q12" s="61" t="s">
        <v>546</v>
      </c>
      <c r="R12" s="70" t="s">
        <v>511</v>
      </c>
      <c r="S12" s="70" t="s">
        <v>545</v>
      </c>
      <c r="U12" s="65" t="str">
        <f t="shared" si="6"/>
        <v>$eUnits[] = array('therm', 'thm, therm(s)', '100,000 Btu (British thermal units).', '1.0550559e8');</v>
      </c>
    </row>
    <row r="13" spans="2:21" ht="12.75">
      <c r="B13" t="str">
        <f t="shared" si="2"/>
        <v>BOE</v>
      </c>
      <c r="C13" t="str">
        <f t="shared" si="3"/>
        <v>BOE, barrel(s) of oil equivalent</v>
      </c>
      <c r="D13" s="11">
        <f>1/7.33</f>
        <v>0.1364256480218281</v>
      </c>
      <c r="E13" t="s">
        <v>183</v>
      </c>
      <c r="F13" t="s">
        <v>173</v>
      </c>
      <c r="I13" t="s">
        <v>181</v>
      </c>
      <c r="J13" s="76">
        <f>D13*D15</f>
        <v>5711869031.377899</v>
      </c>
      <c r="K13">
        <f t="shared" si="4"/>
        <v>9</v>
      </c>
      <c r="L13" s="39">
        <f t="shared" si="0"/>
        <v>5.7118690313778995</v>
      </c>
      <c r="M13" s="47" t="str">
        <f t="shared" si="5"/>
        <v>5.7118690e9</v>
      </c>
      <c r="N13" s="12">
        <f t="shared" si="1"/>
        <v>5711869031.377899</v>
      </c>
      <c r="O13" s="64" t="s">
        <v>7</v>
      </c>
      <c r="P13" s="64" t="s">
        <v>8</v>
      </c>
      <c r="Q13" s="61" t="s">
        <v>546</v>
      </c>
      <c r="R13" s="70" t="s">
        <v>511</v>
      </c>
      <c r="S13" s="70" t="s">
        <v>545</v>
      </c>
      <c r="U13" s="65" t="str">
        <f t="shared" si="6"/>
        <v>$eUnits[] = array('BOE', 'BOE, barrel(s) of oil equivalent', 'A BOE (also boe, bboe) is a "barrels of oil equivalent."', '5.7118690e9');</v>
      </c>
    </row>
    <row r="14" spans="2:21" ht="12.75">
      <c r="B14" t="str">
        <f t="shared" si="2"/>
        <v>TCE</v>
      </c>
      <c r="C14" t="str">
        <f t="shared" si="3"/>
        <v>TCE, tonne(s) of coal equivalent</v>
      </c>
      <c r="D14" s="8">
        <v>7000000000</v>
      </c>
      <c r="E14" t="s">
        <v>130</v>
      </c>
      <c r="F14" t="s">
        <v>205</v>
      </c>
      <c r="I14" t="s">
        <v>182</v>
      </c>
      <c r="J14" s="76">
        <f>D14*D6</f>
        <v>29307600000</v>
      </c>
      <c r="K14">
        <f t="shared" si="4"/>
        <v>10</v>
      </c>
      <c r="L14" s="39">
        <f t="shared" si="0"/>
        <v>2.93076</v>
      </c>
      <c r="M14" s="47" t="str">
        <f t="shared" si="5"/>
        <v>2.9307600e10</v>
      </c>
      <c r="N14" s="12">
        <f t="shared" si="1"/>
        <v>29307600000</v>
      </c>
      <c r="O14" s="64" t="s">
        <v>94</v>
      </c>
      <c r="P14" s="64" t="s">
        <v>9</v>
      </c>
      <c r="Q14" s="61" t="s">
        <v>546</v>
      </c>
      <c r="R14" s="70" t="s">
        <v>511</v>
      </c>
      <c r="S14" s="70" t="s">
        <v>545</v>
      </c>
      <c r="U14" s="65" t="str">
        <f t="shared" si="6"/>
        <v>$eUnits[] = array('TCE', 'TCE, tonne(s) of coal equivalent', 'Tonnes (metric tons) of coal equivalent.', '2.9307600e10');</v>
      </c>
    </row>
    <row r="15" spans="2:21" ht="12.75">
      <c r="B15" t="str">
        <f t="shared" si="2"/>
        <v>TOE</v>
      </c>
      <c r="C15" t="str">
        <f t="shared" si="3"/>
        <v>TOE, tonne(s) of oil equivalent</v>
      </c>
      <c r="D15" s="7">
        <v>41868000000</v>
      </c>
      <c r="E15" t="s">
        <v>134</v>
      </c>
      <c r="F15" t="s">
        <v>192</v>
      </c>
      <c r="I15" t="s">
        <v>183</v>
      </c>
      <c r="J15" s="76">
        <f>D15</f>
        <v>41868000000</v>
      </c>
      <c r="K15">
        <f t="shared" si="4"/>
        <v>10</v>
      </c>
      <c r="L15" s="39">
        <f t="shared" si="0"/>
        <v>4.1868</v>
      </c>
      <c r="M15" s="47" t="str">
        <f t="shared" si="5"/>
        <v>4.1868000e10</v>
      </c>
      <c r="N15" s="12">
        <f t="shared" si="1"/>
        <v>41868000000</v>
      </c>
      <c r="O15" s="64" t="s">
        <v>95</v>
      </c>
      <c r="P15" s="64" t="s">
        <v>10</v>
      </c>
      <c r="Q15" s="61" t="s">
        <v>546</v>
      </c>
      <c r="R15" s="70" t="s">
        <v>511</v>
      </c>
      <c r="S15" s="70" t="s">
        <v>545</v>
      </c>
      <c r="U15" s="65" t="str">
        <f t="shared" si="6"/>
        <v>$eUnits[] = array('TOE', 'TOE, tonne(s) of oil equivalent', 'Tonnes (metric tons) of oil equivalent.', '4.1868000e10');</v>
      </c>
    </row>
    <row r="16" spans="2:21" ht="12.75">
      <c r="B16" t="str">
        <f>I16</f>
        <v>Mton</v>
      </c>
      <c r="C16" t="str">
        <f>O16</f>
        <v>Mton, megaton(s)</v>
      </c>
      <c r="D16" s="82">
        <f>4184000</f>
        <v>4184000</v>
      </c>
      <c r="E16" t="s">
        <v>47</v>
      </c>
      <c r="F16" t="s">
        <v>281</v>
      </c>
      <c r="I16" t="s">
        <v>51</v>
      </c>
      <c r="J16" s="76">
        <f>D16*1000000000</f>
        <v>4184000000000000</v>
      </c>
      <c r="K16">
        <f>FLOOR(LOG(J16),1)</f>
        <v>15</v>
      </c>
      <c r="L16" s="39">
        <f>J16/(10^K16)</f>
        <v>4.184</v>
      </c>
      <c r="M16" s="47" t="str">
        <f>FIXED(L16,7)&amp;"e"&amp;K16</f>
        <v>4.1840000e15</v>
      </c>
      <c r="N16" s="12">
        <f>J16</f>
        <v>4184000000000000</v>
      </c>
      <c r="O16" s="64" t="s">
        <v>97</v>
      </c>
      <c r="P16" s="64" t="s">
        <v>52</v>
      </c>
      <c r="Q16" s="61" t="s">
        <v>546</v>
      </c>
      <c r="R16" s="70" t="s">
        <v>511</v>
      </c>
      <c r="S16" s="70" t="s">
        <v>545</v>
      </c>
      <c r="U16" s="65" t="str">
        <f>CONCATENATE(Q16,I16,R16,O16,R16,P16,R16,M16,S16)</f>
        <v>$eUnits[] = array('Mton', 'Mton, megaton(s)', 'Megatons (Mton or Mt) are used for measuring yieds of A- and H-bombs, e.g. a 1 megaton bomb.', '4.1840000e15');</v>
      </c>
    </row>
    <row r="17" spans="2:21" ht="12.75">
      <c r="B17" t="str">
        <f>I17</f>
        <v>nuke</v>
      </c>
      <c r="C17" t="str">
        <f>O17</f>
        <v>N-yr, Nuclear-plant-year equivalent</v>
      </c>
      <c r="D17" s="7"/>
      <c r="I17" t="s">
        <v>119</v>
      </c>
      <c r="J17" s="76">
        <f>1000000000*8760*3600</f>
        <v>31536000000000000</v>
      </c>
      <c r="K17">
        <f>FLOOR(LOG(J17),1)</f>
        <v>16</v>
      </c>
      <c r="L17" s="39">
        <f>J17/(10^K17)</f>
        <v>3.1536</v>
      </c>
      <c r="M17" s="47" t="str">
        <f>FIXED(L17,7)&amp;"e"&amp;K17</f>
        <v>3.1536000e16</v>
      </c>
      <c r="N17" s="12">
        <f>J17</f>
        <v>31536000000000000</v>
      </c>
      <c r="O17" s="64" t="s">
        <v>120</v>
      </c>
      <c r="P17" s="64" t="s">
        <v>121</v>
      </c>
      <c r="Q17" s="61" t="s">
        <v>546</v>
      </c>
      <c r="R17" s="70" t="s">
        <v>511</v>
      </c>
      <c r="S17" s="70" t="s">
        <v>545</v>
      </c>
      <c r="U17" s="65" t="str">
        <f>CONCATENATE(Q17,I17,R17,O17,R17,P17,R17,M17,S17)</f>
        <v>$eUnits[] = array('nuke', 'N-yr, Nuclear-plant-year equivalent', 'The output of one roughly typical (1+ GW) nuclear plant for one year. Defined as 1GW for 8760 hours. This is a bit on the high side, but justified by the simplicity of the definition.', '3.1536000e16');</v>
      </c>
    </row>
    <row r="18" spans="2:21" ht="12.75">
      <c r="B18" t="str">
        <f t="shared" si="2"/>
        <v>Quad</v>
      </c>
      <c r="C18" t="str">
        <f t="shared" si="3"/>
        <v>Quad, quadrillion Btu</v>
      </c>
      <c r="D18" s="6">
        <v>1000000000000000</v>
      </c>
      <c r="E18" t="s">
        <v>129</v>
      </c>
      <c r="F18" t="s">
        <v>192</v>
      </c>
      <c r="I18" t="s">
        <v>184</v>
      </c>
      <c r="J18" s="76">
        <f>D18*D7</f>
        <v>1.05505585262E+18</v>
      </c>
      <c r="K18">
        <f t="shared" si="4"/>
        <v>18</v>
      </c>
      <c r="L18" s="39">
        <f t="shared" si="0"/>
        <v>1.05505585262</v>
      </c>
      <c r="M18" s="47" t="str">
        <f t="shared" si="5"/>
        <v>1.0550559e18</v>
      </c>
      <c r="N18" s="12">
        <f t="shared" si="1"/>
        <v>1.05505585262E+18</v>
      </c>
      <c r="O18" s="64" t="s">
        <v>96</v>
      </c>
      <c r="P18" s="64" t="s">
        <v>11</v>
      </c>
      <c r="Q18" s="61" t="s">
        <v>546</v>
      </c>
      <c r="R18" s="70" t="s">
        <v>511</v>
      </c>
      <c r="S18" s="70" t="s">
        <v>545</v>
      </c>
      <c r="U18" s="65" t="str">
        <f t="shared" si="6"/>
        <v>$eUnits[] = array('Quad', 'Quad, quadrillion Btu', 'One quadrillion (10&lt;sup&gt;15&lt;/sup&gt;) Btu.', '1.0550559e18');</v>
      </c>
    </row>
    <row r="19" spans="15:16" ht="12.75">
      <c r="O19" s="64"/>
      <c r="P19" s="64"/>
    </row>
    <row r="20" spans="2:15" ht="12.75">
      <c r="B20" t="s">
        <v>129</v>
      </c>
      <c r="C20" t="s">
        <v>131</v>
      </c>
      <c r="D20">
        <v>1055.0558948</v>
      </c>
      <c r="E20" t="s">
        <v>134</v>
      </c>
      <c r="F20" t="s">
        <v>203</v>
      </c>
      <c r="O20" s="64"/>
    </row>
    <row r="21" spans="2:6" ht="12.75">
      <c r="B21" t="s">
        <v>181</v>
      </c>
      <c r="C21" t="s">
        <v>185</v>
      </c>
      <c r="D21" s="9">
        <v>5658.53</v>
      </c>
      <c r="E21" t="s">
        <v>200</v>
      </c>
      <c r="F21" t="s">
        <v>173</v>
      </c>
    </row>
    <row r="22" spans="2:6" ht="12.75">
      <c r="B22" t="s">
        <v>182</v>
      </c>
      <c r="C22" t="s">
        <v>211</v>
      </c>
      <c r="D22" s="8">
        <v>27778000</v>
      </c>
      <c r="E22" t="s">
        <v>129</v>
      </c>
      <c r="F22" t="s">
        <v>207</v>
      </c>
    </row>
    <row r="23" spans="2:16" ht="12.75">
      <c r="B23" t="s">
        <v>183</v>
      </c>
      <c r="C23" t="s">
        <v>212</v>
      </c>
      <c r="D23" s="8">
        <v>10000000</v>
      </c>
      <c r="E23" t="s">
        <v>178</v>
      </c>
      <c r="F23" t="s">
        <v>173</v>
      </c>
      <c r="P23">
        <f>17*24*2+7*15+20</f>
        <v>941</v>
      </c>
    </row>
    <row r="24" spans="2:6" ht="12.75">
      <c r="B24" t="s">
        <v>183</v>
      </c>
      <c r="C24" t="s">
        <v>212</v>
      </c>
      <c r="D24" s="24">
        <f>42.6216*(10^9)</f>
        <v>42621600000</v>
      </c>
      <c r="E24" t="s">
        <v>134</v>
      </c>
      <c r="F24" t="s">
        <v>300</v>
      </c>
    </row>
    <row r="25" spans="2:6" ht="12.75">
      <c r="B25" t="s">
        <v>179</v>
      </c>
      <c r="C25" t="s">
        <v>186</v>
      </c>
      <c r="D25" s="8">
        <f>3600*D28</f>
        <v>2684520</v>
      </c>
      <c r="E25" t="s">
        <v>134</v>
      </c>
      <c r="F25" t="s">
        <v>199</v>
      </c>
    </row>
    <row r="26" spans="2:5" ht="12.75">
      <c r="B26" t="s">
        <v>194</v>
      </c>
      <c r="C26" t="s">
        <v>198</v>
      </c>
      <c r="D26">
        <v>1</v>
      </c>
      <c r="E26" t="s">
        <v>194</v>
      </c>
    </row>
    <row r="28" spans="1:6" ht="12.75">
      <c r="A28" s="3" t="s">
        <v>195</v>
      </c>
      <c r="B28" t="s">
        <v>196</v>
      </c>
      <c r="C28" t="s">
        <v>197</v>
      </c>
      <c r="D28">
        <v>745.7</v>
      </c>
      <c r="E28" t="s">
        <v>194</v>
      </c>
      <c r="F28" t="s">
        <v>193</v>
      </c>
    </row>
    <row r="31" ht="12.75">
      <c r="I31" t="s">
        <v>48</v>
      </c>
    </row>
    <row r="32" spans="2:21" ht="12.75">
      <c r="B32" s="3" t="s">
        <v>67</v>
      </c>
      <c r="C32" s="3" t="s">
        <v>46</v>
      </c>
      <c r="F32" s="3" t="s">
        <v>188</v>
      </c>
      <c r="I32" s="3" t="s">
        <v>580</v>
      </c>
      <c r="J32" s="3" t="s">
        <v>210</v>
      </c>
      <c r="O32" s="3" t="s">
        <v>579</v>
      </c>
      <c r="P32" s="3" t="s">
        <v>581</v>
      </c>
      <c r="U32" s="3" t="s">
        <v>58</v>
      </c>
    </row>
    <row r="33" spans="1:21" ht="12.75">
      <c r="A33" s="3" t="s">
        <v>209</v>
      </c>
      <c r="B33" t="str">
        <f>I33</f>
        <v>kg</v>
      </c>
      <c r="C33" t="str">
        <f>O33</f>
        <v>kg, kilogram(s)</v>
      </c>
      <c r="D33">
        <v>1</v>
      </c>
      <c r="E33" t="s">
        <v>155</v>
      </c>
      <c r="F33" s="1" t="s">
        <v>222</v>
      </c>
      <c r="I33" t="s">
        <v>155</v>
      </c>
      <c r="J33">
        <f>1</f>
        <v>1</v>
      </c>
      <c r="K33">
        <f aca="true" t="shared" si="7" ref="K33:K39">FLOOR(9+LOG(J33),1)-9</f>
        <v>0</v>
      </c>
      <c r="L33" s="39">
        <f aca="true" t="shared" si="8" ref="L33:L39">J33/(10^K33)</f>
        <v>1</v>
      </c>
      <c r="M33" s="47" t="str">
        <f aca="true" t="shared" si="9" ref="M33:M39">FIXED(L33,7)&amp;"e"&amp;K33</f>
        <v>1.0000000e0</v>
      </c>
      <c r="N33" s="12">
        <f aca="true" t="shared" si="10" ref="N33:N39">J33</f>
        <v>1</v>
      </c>
      <c r="O33" t="s">
        <v>43</v>
      </c>
      <c r="P33" t="s">
        <v>529</v>
      </c>
      <c r="Q33" s="61" t="s">
        <v>547</v>
      </c>
      <c r="R33" s="70" t="s">
        <v>511</v>
      </c>
      <c r="S33" s="70" t="s">
        <v>548</v>
      </c>
      <c r="U33" s="65" t="str">
        <f aca="true" t="shared" si="11" ref="U33:U39">CONCATENATE(Q33,I33,R33,O33,R33,P33,R33,M33,S33)</f>
        <v>$qUnits[] = array('kg', 'kg, kilogram(s)', '1000 grams, ~2.2 pounds', '1.0000000e0', 0);</v>
      </c>
    </row>
    <row r="34" spans="2:21" ht="12.75">
      <c r="B34" t="str">
        <f aca="true" t="shared" si="12" ref="B34:B39">I34</f>
        <v>lb</v>
      </c>
      <c r="C34" t="str">
        <f aca="true" t="shared" si="13" ref="C34:C39">O34</f>
        <v>lb, pound(s)</v>
      </c>
      <c r="D34">
        <v>0.45359237</v>
      </c>
      <c r="E34" t="s">
        <v>155</v>
      </c>
      <c r="F34" t="s">
        <v>220</v>
      </c>
      <c r="I34" t="s">
        <v>127</v>
      </c>
      <c r="J34">
        <f>D34</f>
        <v>0.45359237</v>
      </c>
      <c r="K34">
        <f t="shared" si="7"/>
        <v>-1</v>
      </c>
      <c r="L34" s="39">
        <f t="shared" si="8"/>
        <v>4.5359237</v>
      </c>
      <c r="M34" s="47" t="str">
        <f t="shared" si="9"/>
        <v>4.5359237e-1</v>
      </c>
      <c r="N34" s="12">
        <f t="shared" si="10"/>
        <v>0.45359237</v>
      </c>
      <c r="O34" t="s">
        <v>44</v>
      </c>
      <c r="P34" t="s">
        <v>528</v>
      </c>
      <c r="Q34" s="61" t="s">
        <v>547</v>
      </c>
      <c r="R34" s="70" t="s">
        <v>511</v>
      </c>
      <c r="S34" s="70" t="s">
        <v>548</v>
      </c>
      <c r="U34" s="65" t="str">
        <f t="shared" si="11"/>
        <v>$qUnits[] = array('lb', 'lb, pound(s)', '16 ounces', '4.5359237e-1', 0);</v>
      </c>
    </row>
    <row r="35" spans="2:21" ht="12.75">
      <c r="B35" t="str">
        <f t="shared" si="12"/>
        <v>tonne</v>
      </c>
      <c r="C35" t="str">
        <f t="shared" si="13"/>
        <v>t, tonne(s)</v>
      </c>
      <c r="D35">
        <v>1000</v>
      </c>
      <c r="E35" t="s">
        <v>155</v>
      </c>
      <c r="F35" t="s">
        <v>219</v>
      </c>
      <c r="I35" t="s">
        <v>213</v>
      </c>
      <c r="J35">
        <f>D35</f>
        <v>1000</v>
      </c>
      <c r="K35">
        <f t="shared" si="7"/>
        <v>3</v>
      </c>
      <c r="L35" s="39">
        <f t="shared" si="8"/>
        <v>1</v>
      </c>
      <c r="M35" s="47" t="str">
        <f t="shared" si="9"/>
        <v>1.0000000e3</v>
      </c>
      <c r="N35" s="12">
        <f t="shared" si="10"/>
        <v>1000</v>
      </c>
      <c r="O35" t="s">
        <v>71</v>
      </c>
      <c r="P35" t="s">
        <v>530</v>
      </c>
      <c r="Q35" s="61" t="s">
        <v>547</v>
      </c>
      <c r="R35" s="70" t="s">
        <v>511</v>
      </c>
      <c r="S35" s="70" t="s">
        <v>548</v>
      </c>
      <c r="U35" s="65" t="str">
        <f t="shared" si="11"/>
        <v>$qUnits[] = array('tonne', 't, tonne(s)', '1000 kilograms', '1.0000000e3', 0);</v>
      </c>
    </row>
    <row r="36" spans="2:21" ht="12.75">
      <c r="B36" t="str">
        <f t="shared" si="12"/>
        <v>ton</v>
      </c>
      <c r="C36" t="str">
        <f t="shared" si="13"/>
        <v>tn, ton(s)</v>
      </c>
      <c r="D36">
        <v>2000</v>
      </c>
      <c r="E36" t="s">
        <v>127</v>
      </c>
      <c r="F36" t="s">
        <v>219</v>
      </c>
      <c r="I36" t="s">
        <v>59</v>
      </c>
      <c r="J36">
        <f>D36*D34</f>
        <v>907.18474</v>
      </c>
      <c r="K36">
        <f t="shared" si="7"/>
        <v>2</v>
      </c>
      <c r="L36" s="39">
        <f t="shared" si="8"/>
        <v>9.071847400000001</v>
      </c>
      <c r="M36" s="47" t="str">
        <f t="shared" si="9"/>
        <v>9.0718474e2</v>
      </c>
      <c r="N36" s="12">
        <f t="shared" si="10"/>
        <v>907.18474</v>
      </c>
      <c r="O36" t="s">
        <v>68</v>
      </c>
      <c r="P36" t="s">
        <v>75</v>
      </c>
      <c r="Q36" s="61" t="s">
        <v>547</v>
      </c>
      <c r="R36" s="70" t="s">
        <v>511</v>
      </c>
      <c r="S36" s="70" t="s">
        <v>548</v>
      </c>
      <c r="U36" s="65" t="str">
        <f t="shared" si="11"/>
        <v>$qUnits[] = array('ton', 'tn, ton(s)', '2000 pounds, short ton.', '9.0718474e2', 0);</v>
      </c>
    </row>
    <row r="37" spans="2:21" ht="12.75">
      <c r="B37" t="str">
        <f t="shared" si="12"/>
        <v>long-ton</v>
      </c>
      <c r="C37" t="str">
        <f t="shared" si="13"/>
        <v>tn, long-ton(s)</v>
      </c>
      <c r="D37">
        <v>2240</v>
      </c>
      <c r="E37" t="s">
        <v>127</v>
      </c>
      <c r="F37" t="s">
        <v>219</v>
      </c>
      <c r="I37" t="s">
        <v>60</v>
      </c>
      <c r="J37">
        <f>D37*D34</f>
        <v>1016.0469088000001</v>
      </c>
      <c r="K37">
        <f t="shared" si="7"/>
        <v>3</v>
      </c>
      <c r="L37" s="39">
        <f t="shared" si="8"/>
        <v>1.0160469088000001</v>
      </c>
      <c r="M37" s="47" t="str">
        <f t="shared" si="9"/>
        <v>1.0160469e3</v>
      </c>
      <c r="N37" s="12">
        <f t="shared" si="10"/>
        <v>1016.0469088000001</v>
      </c>
      <c r="O37" t="s">
        <v>69</v>
      </c>
      <c r="P37" t="s">
        <v>74</v>
      </c>
      <c r="Q37" s="61" t="s">
        <v>547</v>
      </c>
      <c r="R37" s="70" t="s">
        <v>511</v>
      </c>
      <c r="S37" s="70" t="s">
        <v>548</v>
      </c>
      <c r="U37" s="65" t="str">
        <f t="shared" si="11"/>
        <v>$qUnits[] = array('long-ton', 'tn, long-ton(s)', '2400 pounds. Imperial ton.', '1.0160469e3', 0);</v>
      </c>
    </row>
    <row r="38" spans="2:21" ht="12.75">
      <c r="B38" t="str">
        <f t="shared" si="12"/>
        <v>g</v>
      </c>
      <c r="C38" t="str">
        <f t="shared" si="13"/>
        <v>g, gram(s)</v>
      </c>
      <c r="D38">
        <v>0.001</v>
      </c>
      <c r="E38" t="s">
        <v>155</v>
      </c>
      <c r="F38" t="s">
        <v>221</v>
      </c>
      <c r="I38" t="s">
        <v>156</v>
      </c>
      <c r="J38">
        <f>D38</f>
        <v>0.001</v>
      </c>
      <c r="K38">
        <f t="shared" si="7"/>
        <v>-3</v>
      </c>
      <c r="L38" s="39">
        <f t="shared" si="8"/>
        <v>1</v>
      </c>
      <c r="M38" s="47" t="str">
        <f t="shared" si="9"/>
        <v>1.0000000e-3</v>
      </c>
      <c r="N38" s="12">
        <f t="shared" si="10"/>
        <v>0.001</v>
      </c>
      <c r="O38" t="s">
        <v>70</v>
      </c>
      <c r="P38" t="s">
        <v>527</v>
      </c>
      <c r="Q38" s="61" t="s">
        <v>547</v>
      </c>
      <c r="R38" s="70" t="s">
        <v>511</v>
      </c>
      <c r="S38" s="70" t="s">
        <v>548</v>
      </c>
      <c r="U38" s="65" t="str">
        <f t="shared" si="11"/>
        <v>$qUnits[] = array('g', 'g, gram(s)', 'Metric weight ~half a dime', '1.0000000e-3', 0);</v>
      </c>
    </row>
    <row r="39" spans="2:21" ht="12.75">
      <c r="B39" t="str">
        <f t="shared" si="12"/>
        <v>oz</v>
      </c>
      <c r="C39" t="str">
        <f t="shared" si="13"/>
        <v>oz, ounce(s)</v>
      </c>
      <c r="D39">
        <v>28.34952</v>
      </c>
      <c r="E39" t="s">
        <v>156</v>
      </c>
      <c r="F39" t="s">
        <v>220</v>
      </c>
      <c r="I39" t="s">
        <v>128</v>
      </c>
      <c r="J39">
        <f>D39*D38</f>
        <v>0.02834952</v>
      </c>
      <c r="K39">
        <f t="shared" si="7"/>
        <v>-2</v>
      </c>
      <c r="L39" s="39">
        <f t="shared" si="8"/>
        <v>2.834952</v>
      </c>
      <c r="M39" s="47" t="str">
        <f t="shared" si="9"/>
        <v>2.8349520e-2</v>
      </c>
      <c r="N39" s="12">
        <f t="shared" si="10"/>
        <v>0.02834952</v>
      </c>
      <c r="O39" t="s">
        <v>72</v>
      </c>
      <c r="P39" t="s">
        <v>73</v>
      </c>
      <c r="Q39" s="61" t="s">
        <v>547</v>
      </c>
      <c r="R39" s="70" t="s">
        <v>511</v>
      </c>
      <c r="S39" s="70" t="s">
        <v>548</v>
      </c>
      <c r="U39" s="65" t="str">
        <f t="shared" si="11"/>
        <v>$qUnits[] = array('oz', 'oz, ounce(s)', 'avoirdupois ounce (avdp oz), 1/16 pound.', '2.8349520e-2', 0);</v>
      </c>
    </row>
    <row r="41" ht="12.75">
      <c r="I41" t="s">
        <v>48</v>
      </c>
    </row>
    <row r="42" spans="2:10" ht="12.75">
      <c r="B42" s="3" t="s">
        <v>67</v>
      </c>
      <c r="C42" s="3" t="s">
        <v>46</v>
      </c>
      <c r="F42" s="3" t="s">
        <v>188</v>
      </c>
      <c r="I42" s="3" t="s">
        <v>580</v>
      </c>
      <c r="J42" s="3" t="s">
        <v>132</v>
      </c>
    </row>
    <row r="43" spans="1:21" ht="12.75">
      <c r="A43" s="3" t="s">
        <v>214</v>
      </c>
      <c r="B43" t="str">
        <f aca="true" t="shared" si="14" ref="B43:B52">I43</f>
        <v>gal-us</v>
      </c>
      <c r="C43" t="str">
        <f>O43</f>
        <v>gal, gallon(s)</v>
      </c>
      <c r="D43">
        <v>3.785411784</v>
      </c>
      <c r="E43" t="s">
        <v>215</v>
      </c>
      <c r="F43" t="s">
        <v>224</v>
      </c>
      <c r="I43" t="s">
        <v>61</v>
      </c>
      <c r="J43">
        <f>D43</f>
        <v>3.785411784</v>
      </c>
      <c r="K43">
        <f aca="true" t="shared" si="15" ref="K43:K52">FLOOR(9+LOG(J43),1)-9</f>
        <v>0</v>
      </c>
      <c r="L43" s="39">
        <f aca="true" t="shared" si="16" ref="L43:L52">J43/(10^K43)</f>
        <v>3.785411784</v>
      </c>
      <c r="M43" s="47" t="str">
        <f aca="true" t="shared" si="17" ref="M43:M52">FIXED(L43,7)&amp;"e"&amp;K43</f>
        <v>3.7854118e0</v>
      </c>
      <c r="N43" s="12">
        <f aca="true" t="shared" si="18" ref="N43:N52">J43</f>
        <v>3.785411784</v>
      </c>
      <c r="O43" t="s">
        <v>76</v>
      </c>
      <c r="P43" t="s">
        <v>532</v>
      </c>
      <c r="Q43" s="61" t="s">
        <v>547</v>
      </c>
      <c r="R43" s="70" t="s">
        <v>511</v>
      </c>
      <c r="S43" s="70" t="s">
        <v>549</v>
      </c>
      <c r="U43" s="65" t="str">
        <f>CONCATENATE(Q43,I43,R43,O43,R43,P43,R43,M43,S43)</f>
        <v>$qUnits[] = array('gal-us', 'gal, gallon(s)', 'American gallon', '3.7854118e0', 1);</v>
      </c>
    </row>
    <row r="44" spans="2:21" ht="12.75">
      <c r="B44" t="str">
        <f>I44</f>
        <v>gal-uk</v>
      </c>
      <c r="C44" t="str">
        <f>O44</f>
        <v>gal, gallon(s)-UK</v>
      </c>
      <c r="D44">
        <v>4.54609</v>
      </c>
      <c r="E44" t="s">
        <v>215</v>
      </c>
      <c r="F44" t="s">
        <v>207</v>
      </c>
      <c r="I44" t="s">
        <v>63</v>
      </c>
      <c r="J44">
        <f>D44</f>
        <v>4.54609</v>
      </c>
      <c r="K44">
        <f>FLOOR(9+LOG(J44),1)-9</f>
        <v>0</v>
      </c>
      <c r="L44" s="39">
        <f>J44/(10^K44)</f>
        <v>4.54609</v>
      </c>
      <c r="M44" s="47" t="str">
        <f>FIXED(L44,7)&amp;"e"&amp;K44</f>
        <v>4.5460900e0</v>
      </c>
      <c r="N44" s="12">
        <f>J44</f>
        <v>4.54609</v>
      </c>
      <c r="O44" t="s">
        <v>80</v>
      </c>
      <c r="P44" t="s">
        <v>88</v>
      </c>
      <c r="Q44" s="61" t="s">
        <v>547</v>
      </c>
      <c r="R44" s="70" t="s">
        <v>511</v>
      </c>
      <c r="S44" s="70" t="s">
        <v>549</v>
      </c>
      <c r="U44" s="65" t="str">
        <f>CONCATENATE(Q44,I44,R44,O44,R44,P44,R44,M44,S44)</f>
        <v>$qUnits[] = array('gal-uk', 'gal, gallon(s)-UK', 'Brittish gallon, larger than a US gallon.', '4.5460900e0', 1);</v>
      </c>
    </row>
    <row r="45" spans="2:21" ht="12.75">
      <c r="B45" t="str">
        <f t="shared" si="14"/>
        <v>bbl</v>
      </c>
      <c r="C45" t="str">
        <f aca="true" t="shared" si="19" ref="C45:C52">O45</f>
        <v>bbl, barrel(s)</v>
      </c>
      <c r="D45">
        <v>42</v>
      </c>
      <c r="E45" t="s">
        <v>218</v>
      </c>
      <c r="F45" t="s">
        <v>219</v>
      </c>
      <c r="I45" t="s">
        <v>175</v>
      </c>
      <c r="J45">
        <f>D45*D43</f>
        <v>158.98729492799998</v>
      </c>
      <c r="K45">
        <f t="shared" si="15"/>
        <v>2</v>
      </c>
      <c r="L45" s="39">
        <f t="shared" si="16"/>
        <v>1.58987294928</v>
      </c>
      <c r="M45" s="47" t="str">
        <f t="shared" si="17"/>
        <v>1.5898729e2</v>
      </c>
      <c r="N45" s="12">
        <f t="shared" si="18"/>
        <v>158.98729492799998</v>
      </c>
      <c r="O45" t="s">
        <v>77</v>
      </c>
      <c r="P45" t="s">
        <v>84</v>
      </c>
      <c r="Q45" s="61" t="s">
        <v>547</v>
      </c>
      <c r="R45" s="70" t="s">
        <v>511</v>
      </c>
      <c r="S45" s="70" t="s">
        <v>549</v>
      </c>
      <c r="U45" s="65" t="str">
        <f aca="true" t="shared" si="20" ref="U45:U52">CONCATENATE(Q45,I45,R45,O45,R45,P45,R45,M45,S45)</f>
        <v>$qUnits[] = array('bbl', 'bbl, barrel(s)', '42 american gallons. This is the international oil barrel (bbl or bo). Commerical barrels in the US are officially 31.5 gallons, though beer barrels are usually 31 gallons, and there are many other variations.', '1.5898729e2', 1);</v>
      </c>
    </row>
    <row r="46" spans="2:21" ht="12.75">
      <c r="B46" t="str">
        <f t="shared" si="14"/>
        <v>cf</v>
      </c>
      <c r="C46" t="str">
        <f t="shared" si="19"/>
        <v>cf, cubic foot</v>
      </c>
      <c r="D46">
        <v>0.02831685</v>
      </c>
      <c r="E46" t="s">
        <v>133</v>
      </c>
      <c r="F46" t="s">
        <v>220</v>
      </c>
      <c r="I46" t="s">
        <v>217</v>
      </c>
      <c r="J46">
        <f>D46*D48</f>
        <v>28.316850000000002</v>
      </c>
      <c r="K46">
        <f t="shared" si="15"/>
        <v>1</v>
      </c>
      <c r="L46" s="39">
        <f t="shared" si="16"/>
        <v>2.8316850000000002</v>
      </c>
      <c r="M46" s="47" t="str">
        <f t="shared" si="17"/>
        <v>2.8316850e1</v>
      </c>
      <c r="N46" s="12">
        <f t="shared" si="18"/>
        <v>28.316850000000002</v>
      </c>
      <c r="O46" t="s">
        <v>78</v>
      </c>
      <c r="P46" t="s">
        <v>85</v>
      </c>
      <c r="Q46" s="61" t="s">
        <v>547</v>
      </c>
      <c r="R46" s="70" t="s">
        <v>511</v>
      </c>
      <c r="S46" s="70" t="s">
        <v>549</v>
      </c>
      <c r="U46" s="65" t="str">
        <f t="shared" si="20"/>
        <v>$qUnits[] = array('cf', 'cf, cubic foot', 'Roughly 7.5 gallons.', '2.8316850e1', 1);</v>
      </c>
    </row>
    <row r="47" spans="2:21" ht="12.75">
      <c r="B47" t="str">
        <f t="shared" si="14"/>
        <v>l</v>
      </c>
      <c r="C47" t="str">
        <f t="shared" si="19"/>
        <v>l, liter(s)</v>
      </c>
      <c r="D47">
        <v>1</v>
      </c>
      <c r="E47" t="s">
        <v>215</v>
      </c>
      <c r="F47" s="1" t="s">
        <v>223</v>
      </c>
      <c r="I47" t="s">
        <v>215</v>
      </c>
      <c r="J47">
        <f>D47</f>
        <v>1</v>
      </c>
      <c r="K47">
        <f t="shared" si="15"/>
        <v>0</v>
      </c>
      <c r="L47" s="39">
        <f t="shared" si="16"/>
        <v>1</v>
      </c>
      <c r="M47" s="47" t="str">
        <f t="shared" si="17"/>
        <v>1.0000000e0</v>
      </c>
      <c r="N47" s="12">
        <f t="shared" si="18"/>
        <v>1</v>
      </c>
      <c r="O47" t="s">
        <v>102</v>
      </c>
      <c r="P47" t="s">
        <v>86</v>
      </c>
      <c r="Q47" s="61" t="s">
        <v>547</v>
      </c>
      <c r="R47" s="70" t="s">
        <v>511</v>
      </c>
      <c r="S47" s="70" t="s">
        <v>549</v>
      </c>
      <c r="U47" s="65" t="str">
        <f t="shared" si="20"/>
        <v>$qUnits[] = array('l', 'l, liter(s)', '1000 cubic cm. Roughly a 4 inch cube.', '1.0000000e0', 1);</v>
      </c>
    </row>
    <row r="48" spans="2:21" ht="12.75">
      <c r="B48" t="str">
        <f t="shared" si="14"/>
        <v>m3</v>
      </c>
      <c r="C48" t="str">
        <f t="shared" si="19"/>
        <v>m&lt;sup&gt;3&lt;/sup&gt;, cubic meter(s)</v>
      </c>
      <c r="D48">
        <v>1000</v>
      </c>
      <c r="E48" t="s">
        <v>215</v>
      </c>
      <c r="F48" t="s">
        <v>221</v>
      </c>
      <c r="I48" t="s">
        <v>62</v>
      </c>
      <c r="J48">
        <f>D48</f>
        <v>1000</v>
      </c>
      <c r="K48">
        <f t="shared" si="15"/>
        <v>3</v>
      </c>
      <c r="L48" s="39">
        <f t="shared" si="16"/>
        <v>1</v>
      </c>
      <c r="M48" s="47" t="str">
        <f t="shared" si="17"/>
        <v>1.0000000e3</v>
      </c>
      <c r="N48" s="12">
        <f t="shared" si="18"/>
        <v>1000</v>
      </c>
      <c r="O48" t="s">
        <v>101</v>
      </c>
      <c r="P48" t="s">
        <v>87</v>
      </c>
      <c r="Q48" s="61" t="s">
        <v>547</v>
      </c>
      <c r="R48" s="70" t="s">
        <v>511</v>
      </c>
      <c r="S48" s="70" t="s">
        <v>549</v>
      </c>
      <c r="U48" s="65" t="str">
        <f t="shared" si="20"/>
        <v>$qUnits[] = array('m3', 'm&lt;sup&gt;3&lt;/sup&gt;, cubic meter(s)', '31% more than a cubic yard.', '1.0000000e3', 1);</v>
      </c>
    </row>
    <row r="49" spans="2:21" ht="12.75">
      <c r="B49" t="str">
        <f t="shared" si="14"/>
        <v>fl-oz-us</v>
      </c>
      <c r="C49" t="str">
        <f t="shared" si="19"/>
        <v>fluid ounce(s) US</v>
      </c>
      <c r="D49">
        <v>0.029573531</v>
      </c>
      <c r="E49" t="s">
        <v>215</v>
      </c>
      <c r="F49" t="s">
        <v>220</v>
      </c>
      <c r="I49" t="s">
        <v>64</v>
      </c>
      <c r="J49">
        <f>D49</f>
        <v>0.029573531</v>
      </c>
      <c r="K49">
        <f t="shared" si="15"/>
        <v>-2</v>
      </c>
      <c r="L49" s="39">
        <f t="shared" si="16"/>
        <v>2.9573530999999997</v>
      </c>
      <c r="M49" s="47" t="str">
        <f t="shared" si="17"/>
        <v>2.9573531e-2</v>
      </c>
      <c r="N49" s="12">
        <f t="shared" si="18"/>
        <v>0.029573531</v>
      </c>
      <c r="O49" t="s">
        <v>79</v>
      </c>
      <c r="P49" t="s">
        <v>89</v>
      </c>
      <c r="Q49" s="61" t="s">
        <v>547</v>
      </c>
      <c r="R49" s="70" t="s">
        <v>511</v>
      </c>
      <c r="S49" s="70" t="s">
        <v>549</v>
      </c>
      <c r="U49" s="65" t="str">
        <f t="shared" si="20"/>
        <v>$qUnits[] = array('fl-oz-us', 'fluid ounce(s) US', 'There are 32 US fluid ounces in a US quart.', '2.9573531e-2', 1);</v>
      </c>
    </row>
    <row r="50" spans="2:21" ht="12.75">
      <c r="B50" t="str">
        <f t="shared" si="14"/>
        <v>fl-oz-uk</v>
      </c>
      <c r="C50" t="str">
        <f t="shared" si="19"/>
        <v>fluid ounce(s) UK</v>
      </c>
      <c r="D50">
        <v>0.028413063</v>
      </c>
      <c r="E50" t="s">
        <v>215</v>
      </c>
      <c r="F50" t="s">
        <v>207</v>
      </c>
      <c r="I50" t="s">
        <v>65</v>
      </c>
      <c r="J50">
        <f>D50</f>
        <v>0.028413063</v>
      </c>
      <c r="K50">
        <f t="shared" si="15"/>
        <v>-2</v>
      </c>
      <c r="L50" s="39">
        <f t="shared" si="16"/>
        <v>2.8413063</v>
      </c>
      <c r="M50" s="47" t="str">
        <f t="shared" si="17"/>
        <v>2.8413063e-2</v>
      </c>
      <c r="N50" s="12">
        <f t="shared" si="18"/>
        <v>0.028413063</v>
      </c>
      <c r="O50" t="s">
        <v>81</v>
      </c>
      <c r="P50" t="s">
        <v>90</v>
      </c>
      <c r="Q50" s="61" t="s">
        <v>547</v>
      </c>
      <c r="R50" s="70" t="s">
        <v>511</v>
      </c>
      <c r="S50" s="70" t="s">
        <v>549</v>
      </c>
      <c r="U50" s="65" t="str">
        <f t="shared" si="20"/>
        <v>$qUnits[] = array('fl-oz-uk', 'fluid ounce(s) UK', 'There are 20 imperial ounces in an imperial pint.', '2.8413063e-2', 1);</v>
      </c>
    </row>
    <row r="51" spans="2:21" ht="12.75">
      <c r="B51" t="str">
        <f t="shared" si="14"/>
        <v>cord</v>
      </c>
      <c r="C51" t="str">
        <f t="shared" si="19"/>
        <v>cord(s) of wood</v>
      </c>
      <c r="D51">
        <v>128</v>
      </c>
      <c r="E51" t="s">
        <v>217</v>
      </c>
      <c r="F51" t="s">
        <v>219</v>
      </c>
      <c r="I51" t="s">
        <v>157</v>
      </c>
      <c r="J51">
        <f>D51*D46*D48</f>
        <v>3624.5568000000003</v>
      </c>
      <c r="K51">
        <f t="shared" si="15"/>
        <v>3</v>
      </c>
      <c r="L51" s="39">
        <f t="shared" si="16"/>
        <v>3.6245568</v>
      </c>
      <c r="M51" s="47" t="str">
        <f t="shared" si="17"/>
        <v>3.6245568e3</v>
      </c>
      <c r="N51" s="12">
        <f t="shared" si="18"/>
        <v>3624.5568000000003</v>
      </c>
      <c r="O51" t="s">
        <v>82</v>
      </c>
      <c r="P51" t="s">
        <v>533</v>
      </c>
      <c r="Q51" s="61" t="s">
        <v>547</v>
      </c>
      <c r="R51" s="70" t="s">
        <v>511</v>
      </c>
      <c r="S51" s="70" t="s">
        <v>549</v>
      </c>
      <c r="U51" s="65" t="str">
        <f t="shared" si="20"/>
        <v>$qUnits[] = array('cord', 'cord(s) of wood', '128 cubic feet', '3.6245568e3', 1);</v>
      </c>
    </row>
    <row r="52" spans="2:21" ht="12.75">
      <c r="B52" t="str">
        <f t="shared" si="14"/>
        <v>jig</v>
      </c>
      <c r="C52" t="str">
        <f t="shared" si="19"/>
        <v>jigger(s)</v>
      </c>
      <c r="D52">
        <v>1.5</v>
      </c>
      <c r="E52" t="s">
        <v>216</v>
      </c>
      <c r="F52" t="s">
        <v>207</v>
      </c>
      <c r="I52" t="s">
        <v>66</v>
      </c>
      <c r="J52">
        <f>D52*D49</f>
        <v>0.0443602965</v>
      </c>
      <c r="K52">
        <f t="shared" si="15"/>
        <v>-2</v>
      </c>
      <c r="L52" s="39">
        <f t="shared" si="16"/>
        <v>4.43602965</v>
      </c>
      <c r="M52" s="47" t="str">
        <f t="shared" si="17"/>
        <v>4.4360297e-2</v>
      </c>
      <c r="N52" s="12">
        <f t="shared" si="18"/>
        <v>0.0443602965</v>
      </c>
      <c r="O52" t="s">
        <v>83</v>
      </c>
      <c r="P52" t="s">
        <v>531</v>
      </c>
      <c r="Q52" s="61" t="s">
        <v>547</v>
      </c>
      <c r="R52" s="70" t="s">
        <v>511</v>
      </c>
      <c r="S52" s="70" t="s">
        <v>549</v>
      </c>
      <c r="U52" s="65" t="str">
        <f t="shared" si="20"/>
        <v>$qUnits[] = array('jig', 'jigger(s)', '1.5 fluid ounces', '4.4360297e-2', 1);</v>
      </c>
    </row>
    <row r="53" ht="12.75">
      <c r="N53" s="12"/>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B1:BG66"/>
  <sheetViews>
    <sheetView workbookViewId="0" topLeftCell="L1">
      <selection activeCell="AA19" sqref="AA19"/>
    </sheetView>
  </sheetViews>
  <sheetFormatPr defaultColWidth="9.140625" defaultRowHeight="12.75"/>
  <cols>
    <col min="1" max="1" width="4.421875" style="0" customWidth="1"/>
    <col min="2" max="2" width="5.00390625" style="0" customWidth="1"/>
    <col min="3" max="3" width="12.421875" style="0" customWidth="1"/>
    <col min="4" max="4" width="19.421875" style="0" customWidth="1"/>
    <col min="5" max="6" width="8.57421875" style="0" customWidth="1"/>
    <col min="7" max="7" width="10.421875" style="0" customWidth="1"/>
    <col min="8" max="8" width="8.00390625" style="0" customWidth="1"/>
    <col min="9" max="9" width="1.7109375" style="18" customWidth="1"/>
    <col min="10" max="10" width="8.140625" style="0" customWidth="1"/>
    <col min="12" max="12" width="10.57421875" style="0" customWidth="1"/>
    <col min="13" max="13" width="7.8515625" style="0" customWidth="1"/>
    <col min="14" max="14" width="2.140625" style="18" customWidth="1"/>
    <col min="15" max="16" width="7.140625" style="0" customWidth="1"/>
    <col min="17" max="17" width="8.421875" style="0" customWidth="1"/>
    <col min="18" max="18" width="8.00390625" style="0" customWidth="1"/>
    <col min="19" max="19" width="7.28125" style="0" customWidth="1"/>
    <col min="20" max="20" width="9.8515625" style="0" customWidth="1"/>
    <col min="21" max="21" width="12.421875" style="0" customWidth="1"/>
    <col min="22" max="22" width="8.8515625" style="0" customWidth="1"/>
    <col min="23" max="23" width="2.140625" style="18" customWidth="1"/>
    <col min="24" max="24" width="2.57421875" style="21" customWidth="1"/>
    <col min="25" max="25" width="10.8515625" style="8" customWidth="1"/>
    <col min="26" max="30" width="11.57421875" style="8" customWidth="1"/>
    <col min="31" max="31" width="3.28125" style="18" customWidth="1"/>
    <col min="32" max="32" width="14.421875" style="0" customWidth="1"/>
    <col min="33" max="34" width="9.8515625" style="0" customWidth="1"/>
    <col min="35" max="35" width="9.8515625" style="36" customWidth="1"/>
    <col min="36" max="36" width="9.8515625" style="0" customWidth="1"/>
    <col min="37" max="37" width="9.8515625" style="36" customWidth="1"/>
    <col min="38" max="38" width="9.8515625" style="0" customWidth="1"/>
    <col min="39" max="39" width="0.85546875" style="31" customWidth="1"/>
    <col min="40" max="40" width="5.28125" style="55" customWidth="1"/>
    <col min="41" max="43" width="5.28125" style="40" customWidth="1"/>
    <col min="44" max="44" width="5.8515625" style="0" customWidth="1"/>
    <col min="45" max="45" width="2.28125" style="18" customWidth="1"/>
    <col min="46" max="46" width="4.140625" style="61" customWidth="1"/>
    <col min="47" max="47" width="6.00390625" style="61" customWidth="1"/>
    <col min="48" max="48" width="19.28125" style="0" customWidth="1"/>
    <col min="49" max="49" width="5.57421875" style="0" customWidth="1"/>
    <col min="50" max="50" width="5.421875" style="0" customWidth="1"/>
  </cols>
  <sheetData>
    <row r="1" spans="3:18" ht="12.75">
      <c r="C1" t="s">
        <v>250</v>
      </c>
      <c r="D1" t="s">
        <v>257</v>
      </c>
      <c r="F1" t="s">
        <v>249</v>
      </c>
      <c r="J1" t="s">
        <v>252</v>
      </c>
      <c r="Q1" s="23" t="s">
        <v>293</v>
      </c>
      <c r="R1" s="23"/>
    </row>
    <row r="2" spans="4:32" ht="12.75">
      <c r="D2" t="s">
        <v>258</v>
      </c>
      <c r="J2" t="s">
        <v>253</v>
      </c>
      <c r="Y2" s="8" t="s">
        <v>342</v>
      </c>
      <c r="AF2" t="s">
        <v>368</v>
      </c>
    </row>
    <row r="3" spans="10:50" ht="12.75">
      <c r="J3" t="s">
        <v>254</v>
      </c>
      <c r="Y3" s="8" t="s">
        <v>343</v>
      </c>
      <c r="AX3" s="21" t="s">
        <v>508</v>
      </c>
    </row>
    <row r="4" spans="5:47" s="3" customFormat="1" ht="12.75">
      <c r="E4" s="71" t="s">
        <v>265</v>
      </c>
      <c r="F4" s="71"/>
      <c r="G4" s="71"/>
      <c r="H4" s="13"/>
      <c r="I4" s="19"/>
      <c r="J4" s="71" t="s">
        <v>266</v>
      </c>
      <c r="K4" s="71"/>
      <c r="L4" s="71"/>
      <c r="N4" s="19"/>
      <c r="O4" s="71" t="s">
        <v>291</v>
      </c>
      <c r="P4" s="71"/>
      <c r="R4" s="71" t="s">
        <v>291</v>
      </c>
      <c r="S4" s="71"/>
      <c r="U4" s="3" t="s">
        <v>291</v>
      </c>
      <c r="W4" s="19"/>
      <c r="X4" s="22"/>
      <c r="Y4" s="73" t="s">
        <v>344</v>
      </c>
      <c r="Z4" s="73"/>
      <c r="AA4" s="73" t="s">
        <v>346</v>
      </c>
      <c r="AB4" s="73"/>
      <c r="AC4" s="35" t="s">
        <v>366</v>
      </c>
      <c r="AD4" s="35" t="s">
        <v>367</v>
      </c>
      <c r="AE4" s="19"/>
      <c r="AG4" s="13" t="s">
        <v>245</v>
      </c>
      <c r="AH4" s="13"/>
      <c r="AI4" s="74" t="s">
        <v>273</v>
      </c>
      <c r="AJ4" s="74"/>
      <c r="AK4" s="74"/>
      <c r="AL4" s="74"/>
      <c r="AM4" s="32"/>
      <c r="AN4" s="72" t="s">
        <v>369</v>
      </c>
      <c r="AO4" s="72"/>
      <c r="AP4" s="72" t="s">
        <v>273</v>
      </c>
      <c r="AQ4" s="72"/>
      <c r="AS4" s="19"/>
      <c r="AT4" s="62"/>
      <c r="AU4" s="62"/>
    </row>
    <row r="5" spans="3:43" ht="12.75">
      <c r="C5" s="3" t="s">
        <v>124</v>
      </c>
      <c r="D5" s="3" t="s">
        <v>126</v>
      </c>
      <c r="E5" s="14" t="s">
        <v>260</v>
      </c>
      <c r="F5" s="14" t="s">
        <v>259</v>
      </c>
      <c r="G5" s="3" t="s">
        <v>159</v>
      </c>
      <c r="H5" s="3" t="s">
        <v>188</v>
      </c>
      <c r="J5" s="14" t="s">
        <v>260</v>
      </c>
      <c r="K5" s="14" t="s">
        <v>259</v>
      </c>
      <c r="L5" s="3" t="s">
        <v>159</v>
      </c>
      <c r="M5" s="3" t="s">
        <v>188</v>
      </c>
      <c r="O5" s="14" t="s">
        <v>246</v>
      </c>
      <c r="P5" s="3" t="s">
        <v>159</v>
      </c>
      <c r="R5" s="14" t="s">
        <v>246</v>
      </c>
      <c r="S5" s="3" t="s">
        <v>159</v>
      </c>
      <c r="T5" s="3" t="s">
        <v>188</v>
      </c>
      <c r="U5" s="3" t="s">
        <v>292</v>
      </c>
      <c r="V5" s="3"/>
      <c r="Y5" s="34" t="s">
        <v>260</v>
      </c>
      <c r="Z5" s="34" t="s">
        <v>345</v>
      </c>
      <c r="AA5" s="34" t="s">
        <v>260</v>
      </c>
      <c r="AB5" s="34" t="s">
        <v>345</v>
      </c>
      <c r="AC5" s="35" t="s">
        <v>245</v>
      </c>
      <c r="AD5" s="35" t="s">
        <v>245</v>
      </c>
      <c r="AF5" s="3" t="str">
        <f>IF(C5="","",C5)</f>
        <v>Fuel</v>
      </c>
      <c r="AG5" s="13" t="s">
        <v>370</v>
      </c>
      <c r="AH5" s="13" t="s">
        <v>373</v>
      </c>
      <c r="AI5" s="37" t="s">
        <v>260</v>
      </c>
      <c r="AJ5" s="13" t="s">
        <v>373</v>
      </c>
      <c r="AK5" s="37" t="s">
        <v>259</v>
      </c>
      <c r="AL5" s="13" t="s">
        <v>188</v>
      </c>
      <c r="AM5" s="33"/>
      <c r="AN5" s="56" t="s">
        <v>260</v>
      </c>
      <c r="AO5" s="57" t="s">
        <v>374</v>
      </c>
      <c r="AP5" s="56" t="s">
        <v>260</v>
      </c>
      <c r="AQ5" s="57" t="s">
        <v>374</v>
      </c>
    </row>
    <row r="6" spans="2:48" ht="12.75">
      <c r="B6" s="16"/>
      <c r="C6" s="16"/>
      <c r="D6" s="16"/>
      <c r="E6" s="15"/>
      <c r="F6" s="15"/>
      <c r="G6" s="16"/>
      <c r="H6" s="16"/>
      <c r="I6" s="20"/>
      <c r="V6" s="21"/>
      <c r="AF6" s="3" t="s">
        <v>579</v>
      </c>
      <c r="AU6" s="62" t="s">
        <v>580</v>
      </c>
      <c r="AV6" s="3" t="s">
        <v>581</v>
      </c>
    </row>
    <row r="7" spans="3:51" ht="12.75">
      <c r="C7" t="str">
        <f>AF7</f>
        <v>Gasoline, US 2005</v>
      </c>
      <c r="D7" t="s">
        <v>229</v>
      </c>
      <c r="E7">
        <v>5.218</v>
      </c>
      <c r="G7" t="s">
        <v>267</v>
      </c>
      <c r="H7" t="s">
        <v>283</v>
      </c>
      <c r="S7" t="s">
        <v>226</v>
      </c>
      <c r="U7" s="23">
        <v>0.73</v>
      </c>
      <c r="V7" s="21">
        <f>1/1.351</f>
        <v>0.7401924500370096</v>
      </c>
      <c r="Y7" s="8">
        <f>E7*(Units!$J$7*1000000)/(Units!$J$45)</f>
        <v>34627178.48910076</v>
      </c>
      <c r="AE7" s="18">
        <f>1+AE18</f>
        <v>4</v>
      </c>
      <c r="AF7" t="s">
        <v>567</v>
      </c>
      <c r="AG7" s="36">
        <f>('Oil density'!R$24+'Oil density'!R$25*Fuels!AN7)/100</f>
        <v>0.7341690937350552</v>
      </c>
      <c r="AH7" t="s">
        <v>431</v>
      </c>
      <c r="AI7" s="36">
        <f>AN7/AG7</f>
        <v>47.16512692319478</v>
      </c>
      <c r="AJ7" t="s">
        <v>431</v>
      </c>
      <c r="AK7" s="36">
        <f>(K$8/J$8)*AI7</f>
        <v>44.81187749072115</v>
      </c>
      <c r="AL7" t="s">
        <v>433</v>
      </c>
      <c r="AN7" s="40">
        <f>Y7/1000000</f>
        <v>34.627178489100764</v>
      </c>
      <c r="AO7" s="40" t="s">
        <v>264</v>
      </c>
      <c r="AT7" s="61" t="s">
        <v>509</v>
      </c>
      <c r="AU7" s="61" t="s">
        <v>495</v>
      </c>
      <c r="AV7" t="s">
        <v>640</v>
      </c>
      <c r="AW7" s="70" t="s">
        <v>511</v>
      </c>
      <c r="AX7" s="70" t="s">
        <v>545</v>
      </c>
      <c r="AY7" s="3" t="str">
        <f>CONCATENATE(AT7,AU7,AW7,AF7,AW7,AV7,AW7,FIXED(AG7,7),AW7,FIXED(AI7,4),AW7,FIXED(AK7,4),AX7)</f>
        <v>$fuels[] = array('G-US', 'Gasoline, US 2005', 'Average energy content of gasoline sold in the US in 2005.', '0.7341691', '47.1651', '44.8119');</v>
      </c>
    </row>
    <row r="8" spans="3:51" ht="12.75">
      <c r="C8" t="str">
        <f aca="true" t="shared" si="0" ref="C8:C29">AF8</f>
        <v>Gasoline, conventional</v>
      </c>
      <c r="D8" t="s">
        <v>228</v>
      </c>
      <c r="E8">
        <v>5.253</v>
      </c>
      <c r="G8" t="s">
        <v>267</v>
      </c>
      <c r="H8" t="s">
        <v>283</v>
      </c>
      <c r="J8">
        <v>47.1</v>
      </c>
      <c r="K8">
        <v>44.75</v>
      </c>
      <c r="L8" t="s">
        <v>272</v>
      </c>
      <c r="M8" t="s">
        <v>288</v>
      </c>
      <c r="O8">
        <v>740.7</v>
      </c>
      <c r="P8" t="s">
        <v>289</v>
      </c>
      <c r="Q8" t="s">
        <v>288</v>
      </c>
      <c r="R8">
        <v>8.45</v>
      </c>
      <c r="S8" t="s">
        <v>290</v>
      </c>
      <c r="T8" t="s">
        <v>276</v>
      </c>
      <c r="U8">
        <f>(1000/Units!J$45)/R8</f>
        <v>0.7443563041931487</v>
      </c>
      <c r="V8" s="21"/>
      <c r="Y8" s="8">
        <f>E8*(Units!$J$7*1000000)/(Units!$J$45)</f>
        <v>34859442.04738335</v>
      </c>
      <c r="AA8" s="8">
        <f>J8*(10^9)/(1000)</f>
        <v>47100000</v>
      </c>
      <c r="AB8" s="8">
        <f>K8*(10^9)/(1000)</f>
        <v>44750000</v>
      </c>
      <c r="AC8" s="8">
        <f>Y8/AA8</f>
        <v>0.7401155424072898</v>
      </c>
      <c r="AD8" s="8">
        <f>AZ59+AZ60*(Y8/1000000)</f>
        <v>0.7505396981110065</v>
      </c>
      <c r="AE8" s="18">
        <f aca="true" t="shared" si="1" ref="AE8:AE30">1+AE7</f>
        <v>5</v>
      </c>
      <c r="AF8" t="s">
        <v>371</v>
      </c>
      <c r="AG8" s="36">
        <f>O8/1000</f>
        <v>0.7407</v>
      </c>
      <c r="AH8" t="s">
        <v>288</v>
      </c>
      <c r="AI8" s="36">
        <f>AN8/AG8</f>
        <v>47.06283521990462</v>
      </c>
      <c r="AJ8" t="s">
        <v>434</v>
      </c>
      <c r="AK8" s="36">
        <f>(K$8/J$8)*AI8</f>
        <v>44.714689513603645</v>
      </c>
      <c r="AL8" t="s">
        <v>434</v>
      </c>
      <c r="AN8" s="40">
        <f>Y8/1000000</f>
        <v>34.859442047383354</v>
      </c>
      <c r="AO8" s="40">
        <f>AN8*AK8/AI8</f>
        <v>33.12017052272622</v>
      </c>
      <c r="AT8" s="61" t="s">
        <v>509</v>
      </c>
      <c r="AU8" s="61" t="s">
        <v>233</v>
      </c>
      <c r="AV8" t="s">
        <v>117</v>
      </c>
      <c r="AW8" s="70" t="s">
        <v>511</v>
      </c>
      <c r="AX8" s="70" t="s">
        <v>545</v>
      </c>
      <c r="AY8" s="3" t="str">
        <f aca="true" t="shared" si="2" ref="AY8:AY30">CONCATENATE(AT8,AU8,AW8,AF8,AW8,AV8,AW8,FIXED(AG8,7),AW8,FIXED(AI8,4),AW8,FIXED(AK8,4),AX8)</f>
        <v>$fuels[] = array('G', 'Gasoline, conventional', 'Average energy content of conventional gasoline (no ethanol etc.). Still reported by DOE in Table A1 (ref. #1), this is the value they used for U.S. gasoline up until 1994, when it was replaced by a weighted average of gasoline components, that varies annually. "Gasolne, US 2005" is the 2005 value of "conventional gasoline." ', '0.7407000', '47.0628', '44.7147');</v>
      </c>
    </row>
    <row r="9" spans="3:51" ht="12.75">
      <c r="C9" t="str">
        <f t="shared" si="0"/>
        <v>Gasoline, oxygenated</v>
      </c>
      <c r="D9" t="s">
        <v>230</v>
      </c>
      <c r="E9">
        <v>5.15</v>
      </c>
      <c r="G9" t="s">
        <v>267</v>
      </c>
      <c r="H9" t="s">
        <v>283</v>
      </c>
      <c r="O9" s="3"/>
      <c r="V9" s="21"/>
      <c r="Y9" s="8">
        <f>E9*(Units!$J$7*1000000)/(Units!$J$45)</f>
        <v>34175923.57586603</v>
      </c>
      <c r="AE9" s="18">
        <f t="shared" si="1"/>
        <v>6</v>
      </c>
      <c r="AF9" t="s">
        <v>510</v>
      </c>
      <c r="AG9" s="36">
        <f>('Oil density'!R$24+'Oil density'!R$25*Fuels!AN9)/100</f>
        <v>0.7227597441415593</v>
      </c>
      <c r="AH9" t="s">
        <v>431</v>
      </c>
      <c r="AI9" s="36">
        <f>AN9/AG9</f>
        <v>47.28531694367908</v>
      </c>
      <c r="AJ9" t="s">
        <v>431</v>
      </c>
      <c r="AK9" s="36">
        <f>(K$8/J$8)*AI9</f>
        <v>44.92607076920677</v>
      </c>
      <c r="AL9" t="s">
        <v>435</v>
      </c>
      <c r="AN9" s="40">
        <f>Y9/1000000</f>
        <v>34.17592357586603</v>
      </c>
      <c r="AO9" s="40" t="s">
        <v>264</v>
      </c>
      <c r="AT9" s="61" t="s">
        <v>509</v>
      </c>
      <c r="AU9" s="61" t="s">
        <v>496</v>
      </c>
      <c r="AV9" t="s">
        <v>641</v>
      </c>
      <c r="AW9" s="70" t="s">
        <v>511</v>
      </c>
      <c r="AX9" s="70" t="s">
        <v>545</v>
      </c>
      <c r="AY9" s="3" t="str">
        <f t="shared" si="2"/>
        <v>$fuels[] = array('G-Oxy', 'Gasoline, oxygenated', 'Average energy content of reformulated or oxygenated gasoline sold in the US in 2005.', '0.7227597', '47.2853', '44.9261');</v>
      </c>
    </row>
    <row r="10" spans="3:51" ht="12.75">
      <c r="C10" t="str">
        <f t="shared" si="0"/>
        <v>Gasloline, aviation</v>
      </c>
      <c r="D10" t="s">
        <v>231</v>
      </c>
      <c r="E10">
        <v>5.048</v>
      </c>
      <c r="G10" t="s">
        <v>267</v>
      </c>
      <c r="H10" t="s">
        <v>283</v>
      </c>
      <c r="J10">
        <v>47.4</v>
      </c>
      <c r="K10">
        <v>45.03</v>
      </c>
      <c r="L10" t="s">
        <v>272</v>
      </c>
      <c r="M10" t="s">
        <v>288</v>
      </c>
      <c r="O10">
        <v>716.8</v>
      </c>
      <c r="P10" t="s">
        <v>289</v>
      </c>
      <c r="Q10" t="s">
        <v>288</v>
      </c>
      <c r="R10">
        <v>8.9</v>
      </c>
      <c r="S10" t="s">
        <v>290</v>
      </c>
      <c r="T10" t="s">
        <v>276</v>
      </c>
      <c r="U10">
        <f>(1000/Units!J$45)/R10</f>
        <v>0.7067203112845062</v>
      </c>
      <c r="V10" s="21">
        <f>1/1.37</f>
        <v>0.7299270072992701</v>
      </c>
      <c r="Y10" s="8">
        <f>E10*(Units!$J$7*1000000)/(Units!$J$45)</f>
        <v>33499041.20601392</v>
      </c>
      <c r="AE10" s="18">
        <f t="shared" si="1"/>
        <v>7</v>
      </c>
      <c r="AF10" t="s">
        <v>372</v>
      </c>
      <c r="AG10" s="36">
        <f>(O10/1000+U10)/2</f>
        <v>0.711760155642253</v>
      </c>
      <c r="AH10" t="s">
        <v>436</v>
      </c>
      <c r="AI10" s="36">
        <f>AN10/AG10</f>
        <v>47.06506951879912</v>
      </c>
      <c r="AJ10" t="s">
        <v>437</v>
      </c>
      <c r="AK10" s="36">
        <f>(K10/J10)*AI10</f>
        <v>44.71181604285917</v>
      </c>
      <c r="AL10" t="s">
        <v>437</v>
      </c>
      <c r="AN10" s="40">
        <f>Y10/1000000</f>
        <v>33.49904120601392</v>
      </c>
      <c r="AO10" s="40" t="s">
        <v>264</v>
      </c>
      <c r="AT10" s="61" t="s">
        <v>509</v>
      </c>
      <c r="AU10" s="61" t="s">
        <v>497</v>
      </c>
      <c r="AV10" t="s">
        <v>642</v>
      </c>
      <c r="AW10" s="70" t="s">
        <v>511</v>
      </c>
      <c r="AX10" s="70" t="s">
        <v>545</v>
      </c>
      <c r="AY10" s="3" t="str">
        <f t="shared" si="2"/>
        <v>$fuels[] = array('G-avi', 'Gasloline, aviation', 'Average energy content of aviation gasloline (not jet fuel).', '0.7117602', '47.0651', '44.7118');</v>
      </c>
    </row>
    <row r="11" spans="3:51" ht="12.75">
      <c r="C11" t="str">
        <f t="shared" si="0"/>
        <v>Jet fuel A</v>
      </c>
      <c r="D11" t="s">
        <v>377</v>
      </c>
      <c r="E11">
        <v>5.67</v>
      </c>
      <c r="G11" t="s">
        <v>267</v>
      </c>
      <c r="H11" t="s">
        <v>283</v>
      </c>
      <c r="J11">
        <v>46.23</v>
      </c>
      <c r="K11">
        <v>43.92</v>
      </c>
      <c r="L11" t="s">
        <v>272</v>
      </c>
      <c r="M11" t="s">
        <v>288</v>
      </c>
      <c r="O11">
        <v>802.6</v>
      </c>
      <c r="P11" t="s">
        <v>289</v>
      </c>
      <c r="Q11" t="s">
        <v>288</v>
      </c>
      <c r="R11">
        <v>7.88</v>
      </c>
      <c r="S11" t="s">
        <v>290</v>
      </c>
      <c r="T11" t="s">
        <v>276</v>
      </c>
      <c r="U11">
        <f>(1000/Units!J$45)/R11</f>
        <v>0.798199336349252</v>
      </c>
      <c r="V11" s="21"/>
      <c r="Y11" s="8">
        <f>E11*(Units!$J$7*1000000)/(Units!$J$45)</f>
        <v>37626696.44177871</v>
      </c>
      <c r="AE11" s="18">
        <f t="shared" si="1"/>
        <v>8</v>
      </c>
      <c r="AF11" t="s">
        <v>667</v>
      </c>
      <c r="AG11" s="36">
        <f>U11</f>
        <v>0.798199336349252</v>
      </c>
      <c r="AH11" t="s">
        <v>276</v>
      </c>
      <c r="AI11" s="36">
        <f>AN11/AG11</f>
        <v>47.13947347272055</v>
      </c>
      <c r="AJ11" t="s">
        <v>438</v>
      </c>
      <c r="AK11" s="36">
        <f>(K11/J11)*AI11</f>
        <v>44.78402930828222</v>
      </c>
      <c r="AL11" t="s">
        <v>437</v>
      </c>
      <c r="AN11" s="40">
        <f>Y11/1000000</f>
        <v>37.62669644177871</v>
      </c>
      <c r="AO11" s="40" t="s">
        <v>264</v>
      </c>
      <c r="AT11" s="61" t="s">
        <v>509</v>
      </c>
      <c r="AU11" s="61" t="s">
        <v>498</v>
      </c>
      <c r="AV11" t="s">
        <v>643</v>
      </c>
      <c r="AW11" s="70" t="s">
        <v>511</v>
      </c>
      <c r="AX11" s="70" t="s">
        <v>545</v>
      </c>
      <c r="AY11" s="3" t="str">
        <f t="shared" si="2"/>
        <v>$fuels[] = array('G-jet', 'Jet fuel A', 'Average energy content of Jet A, the standard (kerosene type) jet fuel sold in the US.', '0.7981993', '47.1395', '44.7840');</v>
      </c>
    </row>
    <row r="12" spans="3:51" ht="12.75">
      <c r="C12" t="str">
        <f t="shared" si="0"/>
        <v>Deisel, No. 2</v>
      </c>
      <c r="E12" s="8">
        <v>138700</v>
      </c>
      <c r="F12" s="8">
        <v>128400</v>
      </c>
      <c r="G12" t="s">
        <v>268</v>
      </c>
      <c r="H12" t="s">
        <v>440</v>
      </c>
      <c r="J12">
        <v>45.66</v>
      </c>
      <c r="K12">
        <v>43.38</v>
      </c>
      <c r="L12" t="s">
        <v>272</v>
      </c>
      <c r="M12" t="s">
        <v>288</v>
      </c>
      <c r="O12">
        <v>843.9</v>
      </c>
      <c r="P12" t="s">
        <v>289</v>
      </c>
      <c r="Q12" t="s">
        <v>288</v>
      </c>
      <c r="V12" s="21"/>
      <c r="Y12" s="10"/>
      <c r="AE12" s="18">
        <f>1+AE13</f>
        <v>13</v>
      </c>
      <c r="AF12" t="s">
        <v>54</v>
      </c>
      <c r="AG12" s="36">
        <f>O12/1000</f>
        <v>0.8439</v>
      </c>
      <c r="AH12" t="s">
        <v>448</v>
      </c>
      <c r="AI12" s="36">
        <f>AN12/AG12</f>
        <v>46.20112386113855</v>
      </c>
      <c r="AJ12" t="s">
        <v>448</v>
      </c>
      <c r="AK12" s="36">
        <f>AO12/AG12</f>
        <v>42.770182435257325</v>
      </c>
      <c r="AL12" t="s">
        <v>448</v>
      </c>
      <c r="AN12" s="40">
        <f>Y38/1000000</f>
        <v>38.98912842641482</v>
      </c>
      <c r="AO12" s="40">
        <f>Z38/1000000</f>
        <v>36.093756957113655</v>
      </c>
      <c r="AT12" s="61" t="s">
        <v>509</v>
      </c>
      <c r="AU12" s="61" t="s">
        <v>492</v>
      </c>
      <c r="AV12" t="s">
        <v>648</v>
      </c>
      <c r="AW12" s="70" t="s">
        <v>511</v>
      </c>
      <c r="AX12" s="70" t="s">
        <v>545</v>
      </c>
      <c r="AY12" s="3" t="str">
        <f>CONCATENATE(AT12,AU12,AW12,AF12,AW12,AV12,AW12,FIXED(AG12,7),AW12,FIXED(AI12,4),AW12,FIXED(AK12,4),AX12)</f>
        <v>$fuels[] = array('D', 'Deisel, No. 2', 'Average energy content of deisel.', '0.8439000', '46.2011', '42.7702');</v>
      </c>
    </row>
    <row r="13" spans="3:51" ht="12.75">
      <c r="C13" t="str">
        <f t="shared" si="0"/>
        <v>Bio-diesel</v>
      </c>
      <c r="E13" s="8">
        <f>F13*(E$12/F$12)</f>
        <v>127785.47663551402</v>
      </c>
      <c r="F13" s="8">
        <v>118296</v>
      </c>
      <c r="G13" t="s">
        <v>268</v>
      </c>
      <c r="H13" t="s">
        <v>282</v>
      </c>
      <c r="O13" s="39">
        <v>0.88</v>
      </c>
      <c r="Q13" t="s">
        <v>282</v>
      </c>
      <c r="R13">
        <v>0.88</v>
      </c>
      <c r="S13" t="s">
        <v>274</v>
      </c>
      <c r="T13" t="s">
        <v>282</v>
      </c>
      <c r="U13">
        <f>R13</f>
        <v>0.88</v>
      </c>
      <c r="V13" s="21"/>
      <c r="Y13" s="8">
        <f>E13*(Units!$J$7)/(Units!$J$43)</f>
        <v>35615891.40024068</v>
      </c>
      <c r="Z13" s="8">
        <f>F13*(Units!$J$7)/(Units!$J$43)</f>
        <v>32971019.86871596</v>
      </c>
      <c r="AE13" s="18">
        <f>1+AE16</f>
        <v>12</v>
      </c>
      <c r="AF13" t="s">
        <v>261</v>
      </c>
      <c r="AG13" s="36">
        <f>O13</f>
        <v>0.88</v>
      </c>
      <c r="AH13" t="s">
        <v>282</v>
      </c>
      <c r="AI13" s="36">
        <f>AN13/AG13</f>
        <v>40.47260386390987</v>
      </c>
      <c r="AJ13" t="s">
        <v>449</v>
      </c>
      <c r="AK13" s="36">
        <f>AO13/AG13</f>
        <v>37.46706803263178</v>
      </c>
      <c r="AL13" t="s">
        <v>449</v>
      </c>
      <c r="AN13" s="40">
        <f>Y13/1000000</f>
        <v>35.615891400240685</v>
      </c>
      <c r="AO13" s="40">
        <f>Z13/1000000</f>
        <v>32.97101986871596</v>
      </c>
      <c r="AT13" s="61" t="s">
        <v>509</v>
      </c>
      <c r="AU13" s="61" t="s">
        <v>235</v>
      </c>
      <c r="AV13" t="s">
        <v>647</v>
      </c>
      <c r="AW13" s="70" t="s">
        <v>511</v>
      </c>
      <c r="AX13" s="70" t="s">
        <v>545</v>
      </c>
      <c r="AY13" s="3" t="str">
        <f>CONCATENATE(AT13,AU13,AW13,AF13,AW13,AV13,AW13,FIXED(AG13,7),AW13,FIXED(AI13,4),AW13,FIXED(AK13,4),AX13)</f>
        <v>$fuels[] = array('BD', 'Bio-diesel', 'Average energy content of bio-diesel.', '0.8800000', '40.4726', '37.4671');</v>
      </c>
    </row>
    <row r="14" spans="3:51" ht="12.75">
      <c r="C14" t="str">
        <f t="shared" si="0"/>
        <v>Ethanol, fuel</v>
      </c>
      <c r="E14">
        <v>3.539</v>
      </c>
      <c r="G14" t="s">
        <v>267</v>
      </c>
      <c r="H14" t="s">
        <v>283</v>
      </c>
      <c r="O14">
        <v>0.789</v>
      </c>
      <c r="T14" t="s">
        <v>226</v>
      </c>
      <c r="V14" s="21"/>
      <c r="Y14" s="8">
        <f>E14*(Units!$J$7*1000000)/(Units!$J$45)</f>
        <v>23485163.79320192</v>
      </c>
      <c r="AE14" s="18">
        <f>1+AE11</f>
        <v>9</v>
      </c>
      <c r="AF14" t="s">
        <v>661</v>
      </c>
      <c r="AG14" s="36">
        <f>O14</f>
        <v>0.789</v>
      </c>
      <c r="AI14" s="36">
        <f>AN14/AG14</f>
        <v>29.765733578202685</v>
      </c>
      <c r="AJ14" t="s">
        <v>264</v>
      </c>
      <c r="AK14" s="36">
        <f>AI14*(AO15/AN15)</f>
        <v>26.898879333453078</v>
      </c>
      <c r="AL14" t="s">
        <v>443</v>
      </c>
      <c r="AN14" s="40">
        <f>Y14/1000000</f>
        <v>23.48516379320192</v>
      </c>
      <c r="AO14" s="40" t="s">
        <v>264</v>
      </c>
      <c r="AT14" s="61" t="s">
        <v>509</v>
      </c>
      <c r="AU14" s="61" t="s">
        <v>234</v>
      </c>
      <c r="AV14" t="s">
        <v>644</v>
      </c>
      <c r="AW14" s="70" t="s">
        <v>511</v>
      </c>
      <c r="AX14" s="70" t="s">
        <v>545</v>
      </c>
      <c r="AY14" s="3" t="str">
        <f>CONCATENATE(AT14,AU14,AW14,AF14,AW14,AV14,AW14,FIXED(AG14,7),AW14,FIXED(AI14,4),AW14,FIXED(AK14,4),AX14)</f>
        <v>$fuels[] = array('FE', 'Ethanol, fuel', 'Average energy content of fuel ethanol (essentially identical to pure ethanol).', '0.7890000', '29.7657', '26.8989');</v>
      </c>
    </row>
    <row r="15" spans="3:51" ht="12.75">
      <c r="C15" t="str">
        <f t="shared" si="0"/>
        <v>Ethanol, pure</v>
      </c>
      <c r="E15" s="8">
        <v>84100</v>
      </c>
      <c r="F15" s="8">
        <v>76000</v>
      </c>
      <c r="G15" t="s">
        <v>268</v>
      </c>
      <c r="H15" t="s">
        <v>440</v>
      </c>
      <c r="J15" s="8">
        <v>12800</v>
      </c>
      <c r="K15" s="8">
        <v>11500</v>
      </c>
      <c r="L15" t="s">
        <v>439</v>
      </c>
      <c r="M15" t="s">
        <v>440</v>
      </c>
      <c r="O15">
        <v>0.79358</v>
      </c>
      <c r="Q15" t="s">
        <v>451</v>
      </c>
      <c r="V15" s="21"/>
      <c r="Y15" s="8">
        <f>E15*(Units!$J$7)/(Units!$J$43)</f>
        <v>23440038.30187844</v>
      </c>
      <c r="Z15" s="8">
        <f>F15*(Units!$J$7)/(Units!$J$43)</f>
        <v>21182436.515371718</v>
      </c>
      <c r="AE15" s="18">
        <f>1+AE14</f>
        <v>10</v>
      </c>
      <c r="AF15" t="s">
        <v>662</v>
      </c>
      <c r="AG15" s="36">
        <f>O15</f>
        <v>0.79358</v>
      </c>
      <c r="AH15" t="s">
        <v>440</v>
      </c>
      <c r="AI15" s="36">
        <f>AN15/AG15</f>
        <v>29.5370829681676</v>
      </c>
      <c r="AJ15" t="s">
        <v>440</v>
      </c>
      <c r="AK15" s="36">
        <f>AO15/AG15</f>
        <v>26.69225095815383</v>
      </c>
      <c r="AL15" t="s">
        <v>440</v>
      </c>
      <c r="AN15" s="40">
        <f>Y15/1000000</f>
        <v>23.44003830187844</v>
      </c>
      <c r="AO15" s="40">
        <f>Z15/1000000</f>
        <v>21.182436515371716</v>
      </c>
      <c r="AT15" s="61" t="s">
        <v>509</v>
      </c>
      <c r="AU15" s="61" t="s">
        <v>499</v>
      </c>
      <c r="AV15" t="s">
        <v>645</v>
      </c>
      <c r="AW15" s="70" t="s">
        <v>511</v>
      </c>
      <c r="AX15" s="70" t="s">
        <v>545</v>
      </c>
      <c r="AY15" s="3" t="str">
        <f>CONCATENATE(AT15,AU15,AW15,AF15,AW15,AV15,AW15,FIXED(AG15,7),AW15,FIXED(AI15,4),AW15,FIXED(AK15,4),AX15)</f>
        <v>$fuels[] = array('Enol', 'Ethanol, pure', 'Energy content of pure ethanol.', '0.7935800', '29.5371', '26.6923');</v>
      </c>
    </row>
    <row r="16" spans="3:51" ht="12.75">
      <c r="C16" t="str">
        <f t="shared" si="0"/>
        <v>Methanol, pure</v>
      </c>
      <c r="E16" s="8">
        <v>64250</v>
      </c>
      <c r="F16" s="8">
        <v>56800</v>
      </c>
      <c r="G16" t="s">
        <v>268</v>
      </c>
      <c r="H16" t="s">
        <v>440</v>
      </c>
      <c r="J16" s="8">
        <v>9750</v>
      </c>
      <c r="K16" s="8">
        <v>8570</v>
      </c>
      <c r="L16" t="s">
        <v>439</v>
      </c>
      <c r="M16" t="s">
        <v>440</v>
      </c>
      <c r="O16">
        <v>0.79577</v>
      </c>
      <c r="Q16" t="s">
        <v>451</v>
      </c>
      <c r="V16" s="21"/>
      <c r="Y16" s="8">
        <f>E16*(Units!$J$7)/(Units!$J$43)</f>
        <v>17907520.343587276</v>
      </c>
      <c r="Z16" s="8">
        <f>F16*(Units!$J$7)/(Units!$J$43)</f>
        <v>15831084.13254097</v>
      </c>
      <c r="AE16" s="18">
        <f>1+AE15</f>
        <v>11</v>
      </c>
      <c r="AF16" t="s">
        <v>663</v>
      </c>
      <c r="AG16" s="36">
        <f>O16</f>
        <v>0.79577</v>
      </c>
      <c r="AH16" t="s">
        <v>440</v>
      </c>
      <c r="AI16" s="36">
        <f>AN16/AG16</f>
        <v>22.50338708871568</v>
      </c>
      <c r="AJ16" t="s">
        <v>440</v>
      </c>
      <c r="AK16" s="36">
        <f>AO16/AG16</f>
        <v>19.89404492823425</v>
      </c>
      <c r="AL16" t="s">
        <v>440</v>
      </c>
      <c r="AN16" s="40">
        <f>Y16/1000000</f>
        <v>17.907520343587276</v>
      </c>
      <c r="AO16" s="40">
        <f>Z16/1000000</f>
        <v>15.831084132540969</v>
      </c>
      <c r="AT16" s="61" t="s">
        <v>509</v>
      </c>
      <c r="AU16" s="61" t="s">
        <v>500</v>
      </c>
      <c r="AV16" t="s">
        <v>646</v>
      </c>
      <c r="AW16" s="70" t="s">
        <v>511</v>
      </c>
      <c r="AX16" s="70" t="s">
        <v>545</v>
      </c>
      <c r="AY16" s="3" t="str">
        <f>CONCATENATE(AT16,AU16,AW16,AF16,AW16,AV16,AW16,FIXED(AG16,7),AW16,FIXED(AI16,4),AW16,FIXED(AK16,4),AX16)</f>
        <v>$fuels[] = array('Mnol', 'Methanol, pure', 'Energy content of pure methanol.', '0.7957700', '22.5034', '19.8940');</v>
      </c>
    </row>
    <row r="17" spans="3:51" ht="12.75">
      <c r="C17" t="str">
        <f t="shared" si="0"/>
        <v>Oil, US 2005</v>
      </c>
      <c r="D17" s="16" t="s">
        <v>379</v>
      </c>
      <c r="E17" s="15">
        <v>5.977</v>
      </c>
      <c r="F17" s="15"/>
      <c r="G17" t="s">
        <v>267</v>
      </c>
      <c r="H17" t="s">
        <v>284</v>
      </c>
      <c r="V17" s="21"/>
      <c r="Y17" s="8">
        <f>E17*(Units!$J$7*1000000)/(Units!$J$45)</f>
        <v>39663979.65300024</v>
      </c>
      <c r="AE17" s="18">
        <f>1+AE19</f>
        <v>2</v>
      </c>
      <c r="AF17" t="s">
        <v>659</v>
      </c>
      <c r="AG17" s="36">
        <f>('Oil density'!R$24+'Oil density'!R$25*Fuels!AN17)/100</f>
        <v>0.8615175693448112</v>
      </c>
      <c r="AH17" t="s">
        <v>375</v>
      </c>
      <c r="AI17" s="36">
        <f>AN17/AG17</f>
        <v>46.03966426728234</v>
      </c>
      <c r="AJ17" t="s">
        <v>376</v>
      </c>
      <c r="AK17" s="36">
        <f>AI17*(AQ17/AP17)</f>
        <v>41.458645220069506</v>
      </c>
      <c r="AL17" t="s">
        <v>376</v>
      </c>
      <c r="AN17" s="40">
        <f>Y17/1000000</f>
        <v>39.66397965300024</v>
      </c>
      <c r="AO17" s="40" t="s">
        <v>287</v>
      </c>
      <c r="AP17" s="40">
        <f>46982272/1000000</f>
        <v>46.982272</v>
      </c>
      <c r="AQ17" s="40">
        <f>42307462/1000000</f>
        <v>42.307462</v>
      </c>
      <c r="AR17" t="s">
        <v>375</v>
      </c>
      <c r="AT17" s="61" t="s">
        <v>509</v>
      </c>
      <c r="AU17" s="61" t="s">
        <v>494</v>
      </c>
      <c r="AV17" t="s">
        <v>638</v>
      </c>
      <c r="AW17" s="70" t="s">
        <v>511</v>
      </c>
      <c r="AX17" s="70" t="s">
        <v>545</v>
      </c>
      <c r="AY17" s="3" t="str">
        <f>CONCATENATE(AT17,AU17,AW17,AF17,AW17,AV17,AW17,FIXED(AG17,7),AW17,FIXED(AI17,4),AW17,FIXED(AK17,4),AX17)</f>
        <v>$fuels[] = array('O-USim', 'Oil, US 2005', 'Average energy Content of US crude oil imported during 2005.', '0.8615176', '46.0397', '41.4586');</v>
      </c>
    </row>
    <row r="18" spans="3:51" ht="12.75">
      <c r="C18" t="str">
        <f t="shared" si="0"/>
        <v>Oil, "DOE crude"</v>
      </c>
      <c r="D18" t="s">
        <v>378</v>
      </c>
      <c r="E18">
        <v>5.8</v>
      </c>
      <c r="G18" t="s">
        <v>267</v>
      </c>
      <c r="H18" t="s">
        <v>295</v>
      </c>
      <c r="O18" s="3"/>
      <c r="U18" s="23">
        <v>0.8192323</v>
      </c>
      <c r="V18">
        <f>1/1.164</f>
        <v>0.859106529209622</v>
      </c>
      <c r="Y18" s="8">
        <f>E18*(Units!$J$7*1000000)/(Units!$J$45)</f>
        <v>38489389.65825689</v>
      </c>
      <c r="AE18" s="18">
        <f>1+AE17</f>
        <v>3</v>
      </c>
      <c r="AF18" t="s">
        <v>666</v>
      </c>
      <c r="AG18" s="36">
        <f>('Oil density'!R$24+'Oil density'!R$25*Fuels!AN18)/100</f>
        <v>0.8318197034911528</v>
      </c>
      <c r="AH18" t="s">
        <v>431</v>
      </c>
      <c r="AI18" s="36">
        <f>AN18/AG18</f>
        <v>46.27131275770058</v>
      </c>
      <c r="AJ18" t="s">
        <v>431</v>
      </c>
      <c r="AK18" s="36">
        <f>AI18*(AQ17/AP17)</f>
        <v>41.66724432114591</v>
      </c>
      <c r="AL18" t="s">
        <v>432</v>
      </c>
      <c r="AN18" s="40">
        <f>Y18/1000000</f>
        <v>38.48938965825689</v>
      </c>
      <c r="AO18" s="40" t="s">
        <v>264</v>
      </c>
      <c r="AT18" s="61" t="s">
        <v>509</v>
      </c>
      <c r="AU18" s="61" t="s">
        <v>232</v>
      </c>
      <c r="AV18" t="s">
        <v>639</v>
      </c>
      <c r="AW18" s="70" t="s">
        <v>511</v>
      </c>
      <c r="AX18" s="70" t="s">
        <v>545</v>
      </c>
      <c r="AY18" s="3" t="str">
        <f>CONCATENATE(AT18,AU18,AW18,AF18,AW18,AV18,AW18,FIXED(AG18,7),AW18,FIXED(AI18,4),AW18,FIXED(AK18,4),AX18)</f>
        <v>$fuels[] = array('O', 'Oil, "DOE crude"', 'Average energy content of "crude oil" according to DOE. This definition was established by the Bureau of mines in 1950.', '0.8318197', '46.2713', '41.6672');</v>
      </c>
    </row>
    <row r="19" spans="2:51" ht="12.75">
      <c r="B19" s="16"/>
      <c r="C19" t="str">
        <f t="shared" si="0"/>
        <v>Coal, US 2005</v>
      </c>
      <c r="D19" s="16" t="s">
        <v>244</v>
      </c>
      <c r="E19" s="15"/>
      <c r="F19" s="15"/>
      <c r="G19" s="16"/>
      <c r="H19" s="16"/>
      <c r="I19" s="20"/>
      <c r="J19">
        <v>20.234</v>
      </c>
      <c r="L19" t="s">
        <v>271</v>
      </c>
      <c r="M19" t="s">
        <v>287</v>
      </c>
      <c r="P19" t="s">
        <v>290</v>
      </c>
      <c r="U19" s="23">
        <v>1.35</v>
      </c>
      <c r="V19" s="21"/>
      <c r="AA19" s="8">
        <f>J19*(1000000*Units!J7)/(Units!J36)</f>
        <v>23532142</v>
      </c>
      <c r="AE19" s="18">
        <v>1</v>
      </c>
      <c r="AF19" t="s">
        <v>660</v>
      </c>
      <c r="AG19" s="36">
        <v>1.35</v>
      </c>
      <c r="AH19" t="s">
        <v>375</v>
      </c>
      <c r="AI19" s="36">
        <f>AA19/1000000</f>
        <v>23.532142</v>
      </c>
      <c r="AJ19" t="s">
        <v>287</v>
      </c>
      <c r="AK19" s="36">
        <f>AI19*(AQ19/AP19)</f>
        <v>22.679655638781945</v>
      </c>
      <c r="AL19" t="s">
        <v>376</v>
      </c>
      <c r="AP19" s="55">
        <f>31140492/1000000</f>
        <v>31.140492</v>
      </c>
      <c r="AQ19" s="40">
        <f>30012382/1000000</f>
        <v>30.012382</v>
      </c>
      <c r="AR19" t="s">
        <v>375</v>
      </c>
      <c r="AT19" s="61" t="s">
        <v>509</v>
      </c>
      <c r="AU19" s="61" t="s">
        <v>493</v>
      </c>
      <c r="AV19" t="s">
        <v>636</v>
      </c>
      <c r="AW19" s="70" t="s">
        <v>511</v>
      </c>
      <c r="AX19" s="70" t="s">
        <v>545</v>
      </c>
      <c r="AY19" s="3" t="str">
        <f>CONCATENATE(AT19,AU19,AW19,AF19,AW19,AV19,AW19,FIXED(AG19,7),AW19,FIXED(AI19,4),AW19,FIXED(AK19,4),AX19)</f>
        <v>$fuels[] = array('C', 'Coal, US 2005', 'Average energy content of coal consumed in the US during 2005.', '1.3500000', '23.5321', '22.6797');</v>
      </c>
    </row>
    <row r="20" spans="3:51" ht="12.75">
      <c r="C20" t="str">
        <f t="shared" si="0"/>
        <v>Natural gas, US 2005</v>
      </c>
      <c r="D20" t="s">
        <v>244</v>
      </c>
      <c r="E20">
        <v>1030</v>
      </c>
      <c r="F20" s="45">
        <f>E20*(F35/E35)</f>
        <v>932.7166504381695</v>
      </c>
      <c r="G20" t="s">
        <v>269</v>
      </c>
      <c r="H20" t="s">
        <v>285</v>
      </c>
      <c r="R20">
        <v>0.5821</v>
      </c>
      <c r="S20" t="s">
        <v>488</v>
      </c>
      <c r="U20" s="44">
        <f>R20*U37</f>
        <v>0.0007134006168572299</v>
      </c>
      <c r="V20" s="43">
        <v>0.00073247</v>
      </c>
      <c r="Y20" s="8">
        <f>E20*(Units!$J$7)/Units!$J$46</f>
        <v>38376.70956333773</v>
      </c>
      <c r="Z20" s="8">
        <f>F20*(Units!$J$7)/Units!$J$46</f>
        <v>34752.034950247406</v>
      </c>
      <c r="AE20" s="18">
        <f>1+AE12</f>
        <v>14</v>
      </c>
      <c r="AF20" t="s">
        <v>664</v>
      </c>
      <c r="AG20" s="53">
        <f>U20</f>
        <v>0.0007134006168572299</v>
      </c>
      <c r="AH20" t="s">
        <v>464</v>
      </c>
      <c r="AI20" s="36">
        <f>AN20/AG20</f>
        <v>53.79405155605285</v>
      </c>
      <c r="AJ20" t="s">
        <v>471</v>
      </c>
      <c r="AK20" s="36">
        <f>AO20/AG20</f>
        <v>48.713211243553204</v>
      </c>
      <c r="AL20" t="s">
        <v>471</v>
      </c>
      <c r="AN20" s="55">
        <f>Y20/1000000</f>
        <v>0.03837670956333773</v>
      </c>
      <c r="AO20" s="55">
        <f>Z20/1000000</f>
        <v>0.0347520349502474</v>
      </c>
      <c r="AT20" s="61" t="s">
        <v>509</v>
      </c>
      <c r="AU20" s="61" t="s">
        <v>501</v>
      </c>
      <c r="AV20" t="s">
        <v>649</v>
      </c>
      <c r="AW20" s="70" t="s">
        <v>511</v>
      </c>
      <c r="AX20" s="70" t="s">
        <v>545</v>
      </c>
      <c r="AY20" s="3" t="str">
        <f t="shared" si="2"/>
        <v>$fuels[] = array('NG', 'Natural gas, US 2005', 'Average energy content of natural gas consumed in the US during 2005.', '0.0007134', '53.7941', '48.7132');</v>
      </c>
    </row>
    <row r="21" spans="3:51" ht="12.75">
      <c r="C21" t="str">
        <f t="shared" si="0"/>
        <v>LNG (liquified NG)</v>
      </c>
      <c r="E21">
        <v>40</v>
      </c>
      <c r="G21" t="s">
        <v>270</v>
      </c>
      <c r="H21" t="s">
        <v>286</v>
      </c>
      <c r="J21">
        <v>54.4</v>
      </c>
      <c r="L21" t="s">
        <v>273</v>
      </c>
      <c r="M21" t="s">
        <v>286</v>
      </c>
      <c r="U21" s="39">
        <f>610*U20</f>
        <v>0.4351743762829102</v>
      </c>
      <c r="V21" s="21" t="s">
        <v>469</v>
      </c>
      <c r="Y21" s="8">
        <f>E21*1000000/1000</f>
        <v>40000</v>
      </c>
      <c r="AE21" s="18">
        <f>1+AE20</f>
        <v>15</v>
      </c>
      <c r="AF21" t="s">
        <v>665</v>
      </c>
      <c r="AG21" s="36">
        <f>U21</f>
        <v>0.4351743762829102</v>
      </c>
      <c r="AI21" s="36">
        <f>AI20</f>
        <v>53.79405155605285</v>
      </c>
      <c r="AJ21" t="s">
        <v>472</v>
      </c>
      <c r="AK21" s="36">
        <f>AK20</f>
        <v>48.713211243553204</v>
      </c>
      <c r="AL21" t="s">
        <v>472</v>
      </c>
      <c r="AT21" s="61" t="s">
        <v>509</v>
      </c>
      <c r="AU21" s="61" t="s">
        <v>248</v>
      </c>
      <c r="AV21" t="s">
        <v>650</v>
      </c>
      <c r="AW21" s="70" t="s">
        <v>511</v>
      </c>
      <c r="AX21" s="70" t="s">
        <v>545</v>
      </c>
      <c r="AY21" s="3" t="str">
        <f t="shared" si="2"/>
        <v>$fuels[] = array('LNG', 'LNG (liquified NG)', 'Average energy content of LNG (liquified natural gas). This value was derived from the average energy content of natural gas sold in the US during 2005, adjusting for the density change caused by liquifaction.', '0.4351744', '53.7941', '48.7132');</v>
      </c>
    </row>
    <row r="22" spans="3:51" ht="12.75">
      <c r="C22" t="str">
        <f t="shared" si="0"/>
        <v>Hydrogen</v>
      </c>
      <c r="E22">
        <v>324.5</v>
      </c>
      <c r="F22">
        <v>269.1</v>
      </c>
      <c r="G22" t="s">
        <v>269</v>
      </c>
      <c r="H22" t="s">
        <v>451</v>
      </c>
      <c r="J22">
        <v>33.9</v>
      </c>
      <c r="K22">
        <v>29.15</v>
      </c>
      <c r="L22" t="s">
        <v>450</v>
      </c>
      <c r="M22" t="s">
        <v>451</v>
      </c>
      <c r="O22">
        <v>0.00531</v>
      </c>
      <c r="P22" t="s">
        <v>452</v>
      </c>
      <c r="Q22" t="s">
        <v>451</v>
      </c>
      <c r="R22">
        <v>0.06952</v>
      </c>
      <c r="S22" t="s">
        <v>466</v>
      </c>
      <c r="T22" s="47"/>
      <c r="U22" s="46">
        <f>P58/1000</f>
        <v>8.520118688183237E-05</v>
      </c>
      <c r="V22" s="49"/>
      <c r="Y22" s="8">
        <f>E22*(Units!$J$7)/Units!$J$46</f>
        <v>12090.526459517565</v>
      </c>
      <c r="Z22" s="8">
        <f>F22*(Units!$J$7)/Units!$J$46</f>
        <v>10026.381110188526</v>
      </c>
      <c r="AE22" s="18">
        <f t="shared" si="1"/>
        <v>16</v>
      </c>
      <c r="AF22" t="s">
        <v>240</v>
      </c>
      <c r="AG22" s="47">
        <f>U22</f>
        <v>8.520118688183237E-05</v>
      </c>
      <c r="AI22" s="36">
        <f>AN22/$AG22</f>
        <v>141.90561073152907</v>
      </c>
      <c r="AK22" s="36">
        <f>AO22/$AG22</f>
        <v>117.67889013206309</v>
      </c>
      <c r="AN22" s="55">
        <f>Y22/1000000</f>
        <v>0.012090526459517565</v>
      </c>
      <c r="AO22" s="55">
        <f>Z22/1000000</f>
        <v>0.010026381110188526</v>
      </c>
      <c r="AT22" s="61" t="s">
        <v>509</v>
      </c>
      <c r="AU22" s="61" t="s">
        <v>502</v>
      </c>
      <c r="AV22" t="s">
        <v>651</v>
      </c>
      <c r="AW22" s="70" t="s">
        <v>511</v>
      </c>
      <c r="AX22" s="70" t="s">
        <v>545</v>
      </c>
      <c r="AY22" s="3" t="str">
        <f t="shared" si="2"/>
        <v>$fuels[] = array('H2', 'Hydrogen', 'Energy content of hydrogen at 15 decrees C (59 degrees F) and 1 atmosphere (760 mm Hg) pressure.', '0.0000852', '141.9056', '117.6789');</v>
      </c>
    </row>
    <row r="23" spans="3:51" ht="12.75">
      <c r="C23" t="str">
        <f t="shared" si="0"/>
        <v>Methane</v>
      </c>
      <c r="E23">
        <v>1012</v>
      </c>
      <c r="F23">
        <v>896</v>
      </c>
      <c r="G23" t="s">
        <v>269</v>
      </c>
      <c r="H23" t="s">
        <v>451</v>
      </c>
      <c r="O23">
        <v>0.04226</v>
      </c>
      <c r="P23" t="s">
        <v>452</v>
      </c>
      <c r="Q23" t="s">
        <v>451</v>
      </c>
      <c r="R23">
        <v>0.5534</v>
      </c>
      <c r="S23" t="s">
        <v>466</v>
      </c>
      <c r="U23" s="46">
        <f>R23*U$37</f>
        <v>0.0006782269393038842</v>
      </c>
      <c r="V23" s="21"/>
      <c r="Y23" s="8">
        <f>E23*(Units!$J$7)/Units!$J$46</f>
        <v>37706.0486195124</v>
      </c>
      <c r="Z23" s="8">
        <f>F23*(Units!$J$7)/Units!$J$46</f>
        <v>33384.01142597146</v>
      </c>
      <c r="AE23" s="18">
        <f t="shared" si="1"/>
        <v>17</v>
      </c>
      <c r="AF23" t="s">
        <v>247</v>
      </c>
      <c r="AG23" s="47">
        <f>U23</f>
        <v>0.0006782269393038842</v>
      </c>
      <c r="AI23" s="36">
        <f>AN23/$AG23</f>
        <v>55.59503233270708</v>
      </c>
      <c r="AK23" s="36">
        <f>AO23/$AG23</f>
        <v>49.22247921947188</v>
      </c>
      <c r="AN23" s="55">
        <f>Y23/1000000</f>
        <v>0.037706048619512406</v>
      </c>
      <c r="AO23" s="55">
        <f>Z23/1000000</f>
        <v>0.03338401142597146</v>
      </c>
      <c r="AT23" s="61" t="s">
        <v>509</v>
      </c>
      <c r="AU23" s="61" t="s">
        <v>503</v>
      </c>
      <c r="AV23" t="s">
        <v>652</v>
      </c>
      <c r="AW23" s="70" t="s">
        <v>511</v>
      </c>
      <c r="AX23" s="70" t="s">
        <v>545</v>
      </c>
      <c r="AY23" s="3" t="str">
        <f t="shared" si="2"/>
        <v>$fuels[] = array('Meth', 'Methane', 'Energy content of methane at 15 decrees C (59 degrees F) and 1 atmosphere (760 mm Hg) pressure.', '0.0006782', '55.5950', '49.2225');</v>
      </c>
    </row>
    <row r="24" spans="3:51" ht="12.75">
      <c r="C24" t="str">
        <f t="shared" si="0"/>
        <v>Ethane</v>
      </c>
      <c r="E24">
        <v>1762</v>
      </c>
      <c r="F24">
        <v>1582</v>
      </c>
      <c r="G24" t="s">
        <v>269</v>
      </c>
      <c r="H24" t="s">
        <v>451</v>
      </c>
      <c r="O24">
        <v>0.0792</v>
      </c>
      <c r="P24" t="s">
        <v>452</v>
      </c>
      <c r="Q24" t="s">
        <v>451</v>
      </c>
      <c r="R24">
        <v>1.0371</v>
      </c>
      <c r="S24" t="s">
        <v>466</v>
      </c>
      <c r="U24" s="46">
        <f>R24*U$37</f>
        <v>0.001271032090263929</v>
      </c>
      <c r="V24" s="21"/>
      <c r="Y24" s="8">
        <f>E24*(Units!$J$7)/Units!$J$46</f>
        <v>65650.25461223404</v>
      </c>
      <c r="Z24" s="8">
        <f>F24*(Units!$J$7)/Units!$J$46</f>
        <v>58943.645173980854</v>
      </c>
      <c r="AE24" s="18">
        <f t="shared" si="1"/>
        <v>18</v>
      </c>
      <c r="AF24" t="s">
        <v>238</v>
      </c>
      <c r="AG24" s="47">
        <f>U24</f>
        <v>0.001271032090263929</v>
      </c>
      <c r="AI24" s="36">
        <f>AN24/$AG24</f>
        <v>51.651138562993964</v>
      </c>
      <c r="AK24" s="36">
        <f>AO24/$AG24</f>
        <v>46.37463178584362</v>
      </c>
      <c r="AN24" s="55">
        <f>Y24/1000000</f>
        <v>0.06565025461223405</v>
      </c>
      <c r="AO24" s="55">
        <f>Z24/1000000</f>
        <v>0.05894364517398085</v>
      </c>
      <c r="AT24" s="61" t="s">
        <v>509</v>
      </c>
      <c r="AU24" s="61" t="s">
        <v>504</v>
      </c>
      <c r="AV24" t="s">
        <v>653</v>
      </c>
      <c r="AW24" s="70" t="s">
        <v>511</v>
      </c>
      <c r="AX24" s="70" t="s">
        <v>545</v>
      </c>
      <c r="AY24" s="3" t="str">
        <f t="shared" si="2"/>
        <v>$fuels[] = array('Eth', 'Ethane', 'Energy content of ethane at 15 decrees C (59 degrees F) and 1 atmosphere (760 mm Hg) pressure.', '0.0012710', '51.6511', '46.3746');</v>
      </c>
    </row>
    <row r="25" spans="3:51" ht="12.75">
      <c r="C25" t="str">
        <f t="shared" si="0"/>
        <v>Propane</v>
      </c>
      <c r="E25">
        <v>2509</v>
      </c>
      <c r="F25">
        <v>2266</v>
      </c>
      <c r="G25" t="s">
        <v>269</v>
      </c>
      <c r="H25" t="s">
        <v>451</v>
      </c>
      <c r="O25">
        <v>0.11615</v>
      </c>
      <c r="P25" t="s">
        <v>452</v>
      </c>
      <c r="Q25" t="s">
        <v>451</v>
      </c>
      <c r="R25">
        <v>1.521</v>
      </c>
      <c r="S25" t="s">
        <v>466</v>
      </c>
      <c r="U25" s="46">
        <f>R25*U37</f>
        <v>0.0018640823539595372</v>
      </c>
      <c r="V25" s="21"/>
      <c r="Y25" s="8">
        <f>E25*(Units!$J$7)/Units!$J$46</f>
        <v>93482.68378098481</v>
      </c>
      <c r="Z25" s="8">
        <f>F25*(Units!$J$7)/Units!$J$46</f>
        <v>84428.761039343</v>
      </c>
      <c r="AE25" s="18">
        <f t="shared" si="1"/>
        <v>19</v>
      </c>
      <c r="AF25" t="s">
        <v>239</v>
      </c>
      <c r="AG25" s="47">
        <f>U25</f>
        <v>0.0018640823539595372</v>
      </c>
      <c r="AI25" s="36">
        <f>AN25/$AG25</f>
        <v>50.149438721103834</v>
      </c>
      <c r="AK25" s="36">
        <f>AO25/$AG25</f>
        <v>45.29239862177015</v>
      </c>
      <c r="AN25" s="55">
        <f>Y25/1000000</f>
        <v>0.0934826837809848</v>
      </c>
      <c r="AO25" s="55">
        <f>Z25/1000000</f>
        <v>0.08442876103934299</v>
      </c>
      <c r="AT25" s="61" t="s">
        <v>509</v>
      </c>
      <c r="AU25" s="61" t="s">
        <v>505</v>
      </c>
      <c r="AV25" t="s">
        <v>654</v>
      </c>
      <c r="AW25" s="70" t="s">
        <v>511</v>
      </c>
      <c r="AX25" s="70" t="s">
        <v>545</v>
      </c>
      <c r="AY25" s="3" t="str">
        <f t="shared" si="2"/>
        <v>$fuels[] = array('Prop', 'Propane', 'Energy content of propane at 15 decrees C (59 degrees F) and 1 atmosphere (760 mm Hg) pressure.', '0.0018641', '50.1494', '45.2924');</v>
      </c>
    </row>
    <row r="26" spans="3:51" ht="12.75">
      <c r="C26" t="str">
        <f t="shared" si="0"/>
        <v>Butane</v>
      </c>
      <c r="E26">
        <v>3261</v>
      </c>
      <c r="F26">
        <v>2955</v>
      </c>
      <c r="G26" t="s">
        <v>269</v>
      </c>
      <c r="H26" t="s">
        <v>451</v>
      </c>
      <c r="O26">
        <v>0.15309</v>
      </c>
      <c r="P26" t="s">
        <v>452</v>
      </c>
      <c r="Q26" t="s">
        <v>451</v>
      </c>
      <c r="R26">
        <v>2.0047</v>
      </c>
      <c r="S26" t="s">
        <v>466</v>
      </c>
      <c r="U26" s="46">
        <f>R26*U37</f>
        <v>0.0024568875049195823</v>
      </c>
      <c r="V26" s="21"/>
      <c r="Y26" s="8">
        <f>E26*(Units!$J$7)/Units!$J$46</f>
        <v>121501.40765635371</v>
      </c>
      <c r="Z26" s="8">
        <f>F26*(Units!$J$7)/Units!$J$46</f>
        <v>110100.17161132328</v>
      </c>
      <c r="AE26" s="18">
        <f t="shared" si="1"/>
        <v>20</v>
      </c>
      <c r="AF26" t="s">
        <v>237</v>
      </c>
      <c r="AG26" s="47">
        <f>U26</f>
        <v>0.0024568875049195823</v>
      </c>
      <c r="AI26" s="36">
        <f>AN26/$AG26</f>
        <v>49.45338661744329</v>
      </c>
      <c r="AK26" s="36">
        <f>AO26/$AG26</f>
        <v>44.81286643806959</v>
      </c>
      <c r="AN26" s="55">
        <f>Y26/1000000</f>
        <v>0.12150140765635371</v>
      </c>
      <c r="AO26" s="55">
        <f>Z26/1000000</f>
        <v>0.11010017161132328</v>
      </c>
      <c r="AT26" s="61" t="s">
        <v>509</v>
      </c>
      <c r="AU26" s="61" t="s">
        <v>506</v>
      </c>
      <c r="AV26" t="s">
        <v>655</v>
      </c>
      <c r="AW26" s="70" t="s">
        <v>511</v>
      </c>
      <c r="AX26" s="70" t="s">
        <v>545</v>
      </c>
      <c r="AY26" s="3" t="str">
        <f t="shared" si="2"/>
        <v>$fuels[] = array('But', 'Butane', 'Energy content of butane at 15 decrees C (59 degrees F) and 1 atmosphere (760 mm Hg) pressure.', '0.0024569', '49.4534', '44.8129');</v>
      </c>
    </row>
    <row r="27" spans="3:51" ht="15">
      <c r="C27" t="str">
        <f t="shared" si="0"/>
        <v>Wood (oven dried)</v>
      </c>
      <c r="J27" s="45">
        <v>20</v>
      </c>
      <c r="K27" s="52">
        <v>18.720701166483952</v>
      </c>
      <c r="L27" t="s">
        <v>489</v>
      </c>
      <c r="M27" t="s">
        <v>429</v>
      </c>
      <c r="O27" s="17">
        <v>1.2</v>
      </c>
      <c r="P27" t="s">
        <v>568</v>
      </c>
      <c r="Q27" t="s">
        <v>453</v>
      </c>
      <c r="U27" s="54">
        <f>O27*(Units!J36/(128*Units!J46))</f>
        <v>0.3003461521143771</v>
      </c>
      <c r="V27" s="21"/>
      <c r="AE27" s="18">
        <f t="shared" si="1"/>
        <v>21</v>
      </c>
      <c r="AF27" t="s">
        <v>491</v>
      </c>
      <c r="AG27" s="36">
        <f>U27</f>
        <v>0.3003461521143771</v>
      </c>
      <c r="AI27" s="36">
        <f>J27</f>
        <v>20</v>
      </c>
      <c r="AK27" s="36">
        <f>K27</f>
        <v>18.720701166483952</v>
      </c>
      <c r="AT27" s="61" t="s">
        <v>509</v>
      </c>
      <c r="AU27" s="61" t="s">
        <v>194</v>
      </c>
      <c r="AV27" t="s">
        <v>656</v>
      </c>
      <c r="AW27" s="70" t="s">
        <v>511</v>
      </c>
      <c r="AX27" s="70" t="s">
        <v>545</v>
      </c>
      <c r="AY27" s="3" t="str">
        <f>CONCATENATE(AT27,AU27,AW27,AF27,AW27,AV27,AW27,FIXED(AG27,7),AW27,FIXED(AI27,4),AW27,FIXED(AK27,4),AX27)</f>
        <v>$fuels[] = array('W', 'Wood (oven dried)', 'Average energy content of oven dried ("bone dry") Wood.', '0.3003462', '20.0000', '18.7207');</v>
      </c>
    </row>
    <row r="28" spans="3:51" ht="12.75">
      <c r="C28" t="str">
        <f t="shared" si="0"/>
        <v>TNT</v>
      </c>
      <c r="J28">
        <v>4.184</v>
      </c>
      <c r="K28">
        <f>J28*(F26/E26)</f>
        <v>3.791389144434223</v>
      </c>
      <c r="L28" t="s">
        <v>45</v>
      </c>
      <c r="M28" t="s">
        <v>281</v>
      </c>
      <c r="T28" t="s">
        <v>226</v>
      </c>
      <c r="U28">
        <v>1.65</v>
      </c>
      <c r="V28" s="21" t="s">
        <v>490</v>
      </c>
      <c r="AE28" s="18">
        <f t="shared" si="1"/>
        <v>22</v>
      </c>
      <c r="AF28" t="s">
        <v>243</v>
      </c>
      <c r="AG28" s="36">
        <f>U28</f>
        <v>1.65</v>
      </c>
      <c r="AI28" s="36">
        <f>J28*1000/Units!$J36</f>
        <v>4.612070524907639</v>
      </c>
      <c r="AK28" s="36">
        <f>K28*1000/Units!$J36</f>
        <v>4.179291138025782</v>
      </c>
      <c r="AT28" s="61" t="s">
        <v>509</v>
      </c>
      <c r="AU28" s="61" t="s">
        <v>243</v>
      </c>
      <c r="AV28" t="s">
        <v>637</v>
      </c>
      <c r="AW28" s="70" t="s">
        <v>511</v>
      </c>
      <c r="AX28" s="70" t="s">
        <v>545</v>
      </c>
      <c r="AY28" s="3" t="str">
        <f>CONCATENATE(AT28,AU28,AW28,AF28,AW28,AV28,AW28,FIXED(AG28,7),AW28,FIXED(AI28,4),AW28,FIXED(AK28,4),AX28)</f>
        <v>$fuels[] = array('TNT', 'TNT', 'Approximate energy content of TNT', '1.6500000', '4.6121', '4.1793');</v>
      </c>
    </row>
    <row r="29" spans="3:51" ht="15">
      <c r="C29" t="str">
        <f t="shared" si="0"/>
        <v>Butter</v>
      </c>
      <c r="J29">
        <f>29537005/1000000</f>
        <v>29.537005</v>
      </c>
      <c r="K29">
        <f>27788581/1000000</f>
        <v>27.788581</v>
      </c>
      <c r="L29" t="s">
        <v>489</v>
      </c>
      <c r="M29" s="21" t="s">
        <v>490</v>
      </c>
      <c r="O29" s="17"/>
      <c r="U29" s="21">
        <v>0.9586</v>
      </c>
      <c r="V29" s="21" t="s">
        <v>490</v>
      </c>
      <c r="AE29" s="18">
        <f t="shared" si="1"/>
        <v>23</v>
      </c>
      <c r="AF29" t="s">
        <v>241</v>
      </c>
      <c r="AG29" s="36">
        <f>U29</f>
        <v>0.9586</v>
      </c>
      <c r="AI29" s="36">
        <f>J29</f>
        <v>29.537005</v>
      </c>
      <c r="AK29" s="36">
        <f>K29</f>
        <v>27.788581</v>
      </c>
      <c r="AT29" s="61" t="s">
        <v>509</v>
      </c>
      <c r="AU29" s="61" t="s">
        <v>507</v>
      </c>
      <c r="AV29" t="s">
        <v>658</v>
      </c>
      <c r="AW29" s="70" t="s">
        <v>511</v>
      </c>
      <c r="AX29" s="70" t="s">
        <v>545</v>
      </c>
      <c r="AY29" s="3" t="str">
        <f t="shared" si="2"/>
        <v>$fuels[] = array('Btr', 'Butter', 'Approximate energy content of butter.', '0.9586000', '29.5370', '27.7886');</v>
      </c>
    </row>
    <row r="30" spans="3:51" s="83" customFormat="1" ht="15.75" thickBot="1">
      <c r="C30" s="83" t="str">
        <f>AF30</f>
        <v>Whisky</v>
      </c>
      <c r="I30" s="84"/>
      <c r="J30" s="83">
        <f>12418645/1000000</f>
        <v>12.418645</v>
      </c>
      <c r="K30" s="83">
        <f>11198009/1000000</f>
        <v>11.198009</v>
      </c>
      <c r="L30" s="83" t="s">
        <v>489</v>
      </c>
      <c r="M30" s="85" t="s">
        <v>490</v>
      </c>
      <c r="N30" s="84"/>
      <c r="O30" s="86"/>
      <c r="U30" s="85">
        <v>0.95</v>
      </c>
      <c r="V30" s="85" t="s">
        <v>490</v>
      </c>
      <c r="W30" s="84"/>
      <c r="X30" s="85"/>
      <c r="Y30" s="87"/>
      <c r="Z30" s="87"/>
      <c r="AA30" s="87"/>
      <c r="AB30" s="87"/>
      <c r="AC30" s="87"/>
      <c r="AD30" s="87"/>
      <c r="AE30" s="84">
        <f t="shared" si="1"/>
        <v>24</v>
      </c>
      <c r="AF30" s="83" t="s">
        <v>242</v>
      </c>
      <c r="AG30" s="88">
        <f>U30</f>
        <v>0.95</v>
      </c>
      <c r="AI30" s="88">
        <f>J30</f>
        <v>12.418645</v>
      </c>
      <c r="AK30" s="88">
        <f>K30</f>
        <v>11.198009</v>
      </c>
      <c r="AM30" s="89"/>
      <c r="AN30" s="90"/>
      <c r="AO30" s="90"/>
      <c r="AP30" s="90"/>
      <c r="AQ30" s="90"/>
      <c r="AS30" s="84"/>
      <c r="AT30" s="69" t="s">
        <v>509</v>
      </c>
      <c r="AU30" s="69" t="s">
        <v>242</v>
      </c>
      <c r="AV30" s="83" t="s">
        <v>657</v>
      </c>
      <c r="AW30" s="91" t="s">
        <v>511</v>
      </c>
      <c r="AX30" s="91" t="s">
        <v>545</v>
      </c>
      <c r="AY30" s="92" t="str">
        <f t="shared" si="2"/>
        <v>$fuels[] = array('Whisky', 'Whisky', 'Approximate energy content of whisky.', '0.9500000', '12.4186', '11.1980');</v>
      </c>
    </row>
    <row r="31" ht="12.75">
      <c r="B31" s="3" t="s">
        <v>55</v>
      </c>
    </row>
    <row r="32" ht="12.75"/>
    <row r="33" ht="12.75"/>
    <row r="34" spans="4:25" ht="12.75">
      <c r="D34" t="s">
        <v>227</v>
      </c>
      <c r="E34">
        <v>6.287</v>
      </c>
      <c r="G34" t="s">
        <v>267</v>
      </c>
      <c r="H34" t="s">
        <v>283</v>
      </c>
      <c r="O34" s="3"/>
      <c r="R34">
        <v>6.45</v>
      </c>
      <c r="S34" t="s">
        <v>290</v>
      </c>
      <c r="T34" t="s">
        <v>276</v>
      </c>
      <c r="U34">
        <f>(1000/Units!J$45)/R34</f>
        <v>0.9751644605321094</v>
      </c>
      <c r="V34" s="21">
        <f>1/1.053</f>
        <v>0.9496676163342831</v>
      </c>
      <c r="Y34" s="8">
        <f>E34*(Units!$J$7*1000000)/(Units!$J$45)</f>
        <v>41721171.16921742</v>
      </c>
    </row>
    <row r="35" spans="3:25" ht="12.75">
      <c r="C35" t="s">
        <v>236</v>
      </c>
      <c r="E35" s="8">
        <v>1027</v>
      </c>
      <c r="F35" s="8">
        <v>930</v>
      </c>
      <c r="G35" t="s">
        <v>269</v>
      </c>
      <c r="H35" t="s">
        <v>453</v>
      </c>
      <c r="V35" s="21"/>
      <c r="Y35" s="8">
        <f>E35*(Units!$J$7)/Units!$J$46</f>
        <v>38264.93273936684</v>
      </c>
    </row>
    <row r="36" spans="3:51" ht="12.75">
      <c r="C36" t="s">
        <v>456</v>
      </c>
      <c r="E36" s="42">
        <v>37.8</v>
      </c>
      <c r="F36" s="8"/>
      <c r="G36" t="s">
        <v>457</v>
      </c>
      <c r="S36" s="16"/>
      <c r="U36" s="48"/>
      <c r="V36" s="21"/>
      <c r="Y36" s="8">
        <f>E36*(1000000)/1000</f>
        <v>37800</v>
      </c>
      <c r="AY36" s="5" t="s">
        <v>339</v>
      </c>
    </row>
    <row r="37" spans="3:59" ht="12.75">
      <c r="C37" t="s">
        <v>236</v>
      </c>
      <c r="D37" t="s">
        <v>251</v>
      </c>
      <c r="E37">
        <v>42.51</v>
      </c>
      <c r="G37" t="s">
        <v>270</v>
      </c>
      <c r="H37" t="s">
        <v>286</v>
      </c>
      <c r="J37">
        <v>52.62</v>
      </c>
      <c r="L37" t="s">
        <v>273</v>
      </c>
      <c r="M37" t="s">
        <v>286</v>
      </c>
      <c r="T37" s="2" t="s">
        <v>467</v>
      </c>
      <c r="U37" s="46">
        <f>P60/1000</f>
        <v>0.0012255636778169213</v>
      </c>
      <c r="V37" s="21" t="s">
        <v>484</v>
      </c>
      <c r="AY37" s="3"/>
      <c r="AZ37" s="3"/>
      <c r="BA37" s="3"/>
      <c r="BB37" s="3"/>
      <c r="BC37" s="3"/>
      <c r="BD37" s="3"/>
      <c r="BE37" s="3"/>
      <c r="BF37" s="3"/>
      <c r="BG37" s="3"/>
    </row>
    <row r="38" spans="3:58" ht="12.75">
      <c r="C38" t="s">
        <v>447</v>
      </c>
      <c r="E38" s="8">
        <f>F38*(E$12/F$12)</f>
        <v>139888.2398753894</v>
      </c>
      <c r="F38" s="8">
        <v>129500</v>
      </c>
      <c r="G38" t="s">
        <v>268</v>
      </c>
      <c r="H38" t="s">
        <v>282</v>
      </c>
      <c r="V38" s="21">
        <f>1/1.149</f>
        <v>0.8703220191470844</v>
      </c>
      <c r="Y38" s="8">
        <f>E38*(Units!$J$7)/(Units!$J$43)</f>
        <v>38989128.426414825</v>
      </c>
      <c r="Z38" s="8">
        <f>F38*(Units!$J$7)/(Units!$J$43)</f>
        <v>36093756.95711365</v>
      </c>
      <c r="AZ38" s="29"/>
      <c r="BA38" s="29" t="s">
        <v>335</v>
      </c>
      <c r="BB38" s="29" t="s">
        <v>333</v>
      </c>
      <c r="BC38" s="29" t="s">
        <v>334</v>
      </c>
      <c r="BD38" s="3" t="s">
        <v>336</v>
      </c>
      <c r="BE38" s="3" t="s">
        <v>348</v>
      </c>
      <c r="BF38" s="14" t="s">
        <v>349</v>
      </c>
    </row>
    <row r="39" spans="51:58" ht="12.75">
      <c r="AY39" t="s">
        <v>337</v>
      </c>
      <c r="AZ39" s="29" t="s">
        <v>323</v>
      </c>
      <c r="BA39" s="29">
        <v>33</v>
      </c>
      <c r="BB39" s="29" t="s">
        <v>324</v>
      </c>
      <c r="BC39" s="29" t="s">
        <v>322</v>
      </c>
      <c r="BD39" s="29">
        <f>1000/BB39</f>
        <v>0.7082152974504249</v>
      </c>
      <c r="BE39">
        <f>AZ$59+AZ$60*BA39</f>
        <v>0.707818666804952</v>
      </c>
      <c r="BF39" s="30">
        <f>(BE39-BD39)/BD39</f>
        <v>-0.0005600424714077436</v>
      </c>
    </row>
    <row r="40" ht="13.5" thickBot="1"/>
    <row r="41" spans="15:52" ht="15">
      <c r="O41" s="17"/>
      <c r="Q41" s="2"/>
      <c r="R41" s="2" t="s">
        <v>370</v>
      </c>
      <c r="S41" s="2" t="s">
        <v>487</v>
      </c>
      <c r="V41" s="21"/>
      <c r="AY41" s="28" t="s">
        <v>301</v>
      </c>
      <c r="AZ41" s="28"/>
    </row>
    <row r="42" spans="15:54" ht="15">
      <c r="O42" s="17"/>
      <c r="P42" s="8" t="s">
        <v>458</v>
      </c>
      <c r="Q42" s="51">
        <v>0.9384</v>
      </c>
      <c r="R42">
        <f>R23</f>
        <v>0.5534</v>
      </c>
      <c r="S42">
        <f>E23</f>
        <v>1012</v>
      </c>
      <c r="V42" s="21"/>
      <c r="AY42" s="25" t="s">
        <v>302</v>
      </c>
      <c r="AZ42" s="25">
        <v>0.9994535969146677</v>
      </c>
      <c r="BB42" s="3" t="s">
        <v>347</v>
      </c>
    </row>
    <row r="43" spans="15:52" ht="12.75">
      <c r="O43" s="17"/>
      <c r="P43" s="8" t="s">
        <v>459</v>
      </c>
      <c r="Q43" s="51">
        <f>1-Q42-Q44</f>
        <v>0.04559999999999999</v>
      </c>
      <c r="R43">
        <f>R24</f>
        <v>1.0371</v>
      </c>
      <c r="S43">
        <f>E24</f>
        <v>1762</v>
      </c>
      <c r="V43" s="21"/>
      <c r="AY43" s="25" t="s">
        <v>303</v>
      </c>
      <c r="AZ43" s="25">
        <v>0.9989074923856671</v>
      </c>
    </row>
    <row r="44" spans="15:52" ht="12.75">
      <c r="O44" s="17"/>
      <c r="P44" s="8" t="s">
        <v>460</v>
      </c>
      <c r="Q44" s="51">
        <v>0.016</v>
      </c>
      <c r="R44">
        <f>(28/16)*R42</f>
        <v>0.96845</v>
      </c>
      <c r="S44">
        <v>0</v>
      </c>
      <c r="V44" s="21"/>
      <c r="AY44" s="25" t="s">
        <v>304</v>
      </c>
      <c r="AZ44" s="25">
        <v>0.9983612385785006</v>
      </c>
    </row>
    <row r="45" spans="15:51" ht="12.75">
      <c r="O45" s="17"/>
      <c r="R45">
        <f>SUMPRODUCT(Q42:Q44,R42:R44)</f>
        <v>0.58209752</v>
      </c>
      <c r="S45">
        <f>SUMPRODUCT(Q42:Q44,S42:S44)</f>
        <v>1030.008</v>
      </c>
      <c r="AY45" t="s">
        <v>307</v>
      </c>
    </row>
    <row r="46" spans="15:16" ht="12.75">
      <c r="O46" s="17"/>
      <c r="P46" s="8" t="s">
        <v>461</v>
      </c>
    </row>
    <row r="47" spans="15:52" ht="12.75">
      <c r="O47" s="17"/>
      <c r="P47" s="8" t="s">
        <v>465</v>
      </c>
      <c r="AY47" s="25" t="s">
        <v>305</v>
      </c>
      <c r="AZ47" s="25">
        <v>0.001978989997224333</v>
      </c>
    </row>
    <row r="48" spans="15:52" ht="13.5" thickBot="1">
      <c r="O48" s="17"/>
      <c r="AQ48" s="58"/>
      <c r="AY48" s="26" t="s">
        <v>306</v>
      </c>
      <c r="AZ48" s="26">
        <v>4</v>
      </c>
    </row>
    <row r="49" spans="15:52" ht="12.75">
      <c r="O49" s="17"/>
      <c r="P49" s="8" t="s">
        <v>485</v>
      </c>
      <c r="AQ49" s="59"/>
      <c r="AY49" s="25"/>
      <c r="AZ49" s="25"/>
    </row>
    <row r="50" spans="15:58" ht="12.75">
      <c r="O50" s="3"/>
      <c r="P50" t="s">
        <v>473</v>
      </c>
      <c r="AQ50" s="60"/>
      <c r="AY50" t="s">
        <v>338</v>
      </c>
      <c r="AZ50" s="29" t="s">
        <v>328</v>
      </c>
      <c r="BA50" s="29">
        <v>37.5</v>
      </c>
      <c r="BB50" s="29" t="s">
        <v>329</v>
      </c>
      <c r="BC50" s="29" t="s">
        <v>330</v>
      </c>
      <c r="BD50" s="29">
        <f>1000/BB50</f>
        <v>0.8130081300813008</v>
      </c>
      <c r="BE50">
        <f>AZ$59+AZ$60*BA50</f>
        <v>0.8112070144804152</v>
      </c>
      <c r="BF50" s="30">
        <f>(BE50-BD50)/BD50</f>
        <v>-0.0022153721890892674</v>
      </c>
    </row>
    <row r="51" spans="15:58" ht="12.75">
      <c r="O51" s="3"/>
      <c r="P51" t="s">
        <v>474</v>
      </c>
      <c r="AQ51" s="59"/>
      <c r="AY51" t="s">
        <v>338</v>
      </c>
      <c r="AZ51" s="29" t="s">
        <v>331</v>
      </c>
      <c r="BA51" s="29">
        <v>36.8</v>
      </c>
      <c r="BB51" s="29" t="s">
        <v>332</v>
      </c>
      <c r="BC51" s="29" t="s">
        <v>327</v>
      </c>
      <c r="BD51" s="29">
        <f>1000/BB51</f>
        <v>0.7930214115781126</v>
      </c>
      <c r="BE51">
        <f>AZ$59+AZ$60*BA51</f>
        <v>0.7951243826197876</v>
      </c>
      <c r="BF51" s="30">
        <f>(BE51-BD51)/BD51</f>
        <v>0.0026518464835521825</v>
      </c>
    </row>
    <row r="52" spans="15:58" ht="13.5" thickBot="1">
      <c r="O52" s="3"/>
      <c r="P52" t="s">
        <v>475</v>
      </c>
      <c r="AQ52" s="60"/>
      <c r="AY52" t="s">
        <v>337</v>
      </c>
      <c r="AZ52" s="29" t="s">
        <v>325</v>
      </c>
      <c r="BA52" s="29">
        <v>34.2</v>
      </c>
      <c r="BB52" s="29" t="s">
        <v>326</v>
      </c>
      <c r="BC52" s="29" t="s">
        <v>327</v>
      </c>
      <c r="BD52" s="29">
        <f>1000/BB52</f>
        <v>0.7352941176470589</v>
      </c>
      <c r="BE52">
        <f>AZ$59+AZ$60*BA52</f>
        <v>0.7353888928517422</v>
      </c>
      <c r="BF52" s="30">
        <f>(BE52-BD52)/BD52</f>
        <v>0.00012889427836938692</v>
      </c>
    </row>
    <row r="53" spans="15:56" ht="12.75">
      <c r="O53" s="3"/>
      <c r="P53" t="s">
        <v>476</v>
      </c>
      <c r="AQ53" s="59"/>
      <c r="AY53" s="27"/>
      <c r="AZ53" s="27" t="s">
        <v>312</v>
      </c>
      <c r="BA53" s="27" t="s">
        <v>313</v>
      </c>
      <c r="BB53" s="27" t="s">
        <v>314</v>
      </c>
      <c r="BC53" s="27" t="s">
        <v>315</v>
      </c>
      <c r="BD53" s="27" t="s">
        <v>316</v>
      </c>
    </row>
    <row r="54" spans="15:56" ht="12.75">
      <c r="O54" s="3"/>
      <c r="P54" t="s">
        <v>477</v>
      </c>
      <c r="AQ54" s="59"/>
      <c r="AY54" s="25" t="s">
        <v>308</v>
      </c>
      <c r="AZ54" s="25">
        <v>1</v>
      </c>
      <c r="BA54" s="25">
        <v>0.007161730791491836</v>
      </c>
      <c r="BB54" s="25">
        <v>0.007161730791491836</v>
      </c>
      <c r="BC54" s="25">
        <v>1828.6508565811396</v>
      </c>
      <c r="BD54" s="25">
        <v>0.0005464030852841921</v>
      </c>
    </row>
    <row r="55" spans="16:56" ht="12.75">
      <c r="P55" t="s">
        <v>478</v>
      </c>
      <c r="AQ55" s="59"/>
      <c r="AY55" s="25" t="s">
        <v>309</v>
      </c>
      <c r="AZ55" s="25">
        <v>2</v>
      </c>
      <c r="BA55" s="25">
        <v>7.832802818227933E-06</v>
      </c>
      <c r="BB55" s="25">
        <v>3.916401409113966E-06</v>
      </c>
      <c r="BC55" s="25"/>
      <c r="BD55" s="25"/>
    </row>
    <row r="56" spans="16:56" ht="13.5" thickBot="1">
      <c r="P56" t="s">
        <v>479</v>
      </c>
      <c r="T56">
        <f>273.15/288.15</f>
        <v>0.9479437792816241</v>
      </c>
      <c r="AQ56" s="59"/>
      <c r="AY56" s="26" t="s">
        <v>310</v>
      </c>
      <c r="AZ56" s="26">
        <v>3</v>
      </c>
      <c r="BA56" s="26">
        <v>0.007169563594310064</v>
      </c>
      <c r="BB56" s="26"/>
      <c r="BC56" s="26"/>
      <c r="BD56" s="26"/>
    </row>
    <row r="57" spans="16:43" ht="13.5" thickBot="1">
      <c r="P57">
        <v>0.08988</v>
      </c>
      <c r="Q57" t="s">
        <v>480</v>
      </c>
      <c r="U57" t="s">
        <v>486</v>
      </c>
      <c r="AQ57" s="59"/>
    </row>
    <row r="58" spans="16:56" ht="12.75">
      <c r="P58" s="50">
        <f>P57*T56</f>
        <v>0.08520118688183237</v>
      </c>
      <c r="Q58" t="s">
        <v>481</v>
      </c>
      <c r="AQ58" s="59"/>
      <c r="AY58" s="27"/>
      <c r="AZ58" s="27" t="s">
        <v>317</v>
      </c>
      <c r="BA58" s="27" t="s">
        <v>305</v>
      </c>
      <c r="BB58" s="27" t="s">
        <v>318</v>
      </c>
      <c r="BC58" s="27" t="s">
        <v>319</v>
      </c>
      <c r="BD58" s="27" t="s">
        <v>320</v>
      </c>
    </row>
    <row r="59" spans="16:56" ht="12.75">
      <c r="P59">
        <v>0.06952</v>
      </c>
      <c r="Q59" t="s">
        <v>482</v>
      </c>
      <c r="U59" t="s">
        <v>486</v>
      </c>
      <c r="AQ59" s="58"/>
      <c r="AY59" s="25" t="s">
        <v>311</v>
      </c>
      <c r="AZ59" s="25">
        <v>-0.05036254948177821</v>
      </c>
      <c r="BA59" s="25">
        <v>0.019031714342413925</v>
      </c>
      <c r="BB59" s="25">
        <v>-2.6462434531996224</v>
      </c>
      <c r="BC59" s="25">
        <v>0.11804644920821572</v>
      </c>
      <c r="BD59" s="25">
        <v>-0.1322494071450775</v>
      </c>
    </row>
    <row r="60" spans="16:56" ht="13.5" thickBot="1">
      <c r="P60">
        <f>P58/P59</f>
        <v>1.2255636778169214</v>
      </c>
      <c r="Q60" t="s">
        <v>483</v>
      </c>
      <c r="AQ60" s="58"/>
      <c r="AY60" s="26" t="s">
        <v>321</v>
      </c>
      <c r="AZ60" s="26">
        <v>0.022975188372325157</v>
      </c>
      <c r="BA60" s="26">
        <v>0.0005372713518835176</v>
      </c>
      <c r="BB60" s="26">
        <v>42.762727422150476</v>
      </c>
      <c r="BC60" s="26">
        <v>0.0005464030852841921</v>
      </c>
      <c r="BD60" s="26">
        <v>0.020663496323637454</v>
      </c>
    </row>
    <row r="61" ht="12.75">
      <c r="AQ61" s="58"/>
    </row>
    <row r="62" ht="12.75">
      <c r="AQ62" s="58"/>
    </row>
    <row r="63" spans="43:59" ht="15.75" thickBot="1">
      <c r="AQ63" s="58"/>
      <c r="AY63" s="83"/>
      <c r="AZ63" s="93" t="s">
        <v>340</v>
      </c>
      <c r="BA63" s="83"/>
      <c r="BB63" s="83"/>
      <c r="BC63" s="83"/>
      <c r="BD63" s="83"/>
      <c r="BE63" s="83"/>
      <c r="BF63" s="83"/>
      <c r="BG63" s="83"/>
    </row>
    <row r="64" spans="43:52" ht="12.75">
      <c r="AQ64" s="58"/>
      <c r="AZ64" t="s">
        <v>341</v>
      </c>
    </row>
    <row r="65" ht="12.75">
      <c r="AQ65" s="58"/>
    </row>
    <row r="66" ht="12.75">
      <c r="AQ66" s="58"/>
    </row>
  </sheetData>
  <mergeCells count="9">
    <mergeCell ref="AN4:AO4"/>
    <mergeCell ref="AP4:AQ4"/>
    <mergeCell ref="Y4:Z4"/>
    <mergeCell ref="AA4:AB4"/>
    <mergeCell ref="AI4:AL4"/>
    <mergeCell ref="E4:G4"/>
    <mergeCell ref="J4:L4"/>
    <mergeCell ref="O4:P4"/>
    <mergeCell ref="R4:S4"/>
  </mergeCells>
  <hyperlinks>
    <hyperlink ref="AY36" r:id="rId1" display="http://www.ior.com.au/ecflist.html"/>
  </hyperlinks>
  <printOptions/>
  <pageMargins left="0.75" right="0.75" top="1" bottom="1" header="0.5" footer="0.5"/>
  <pageSetup horizontalDpi="1200" verticalDpi="1200" orientation="portrait" r:id="rId4"/>
  <legacyDrawing r:id="rId3"/>
</worksheet>
</file>

<file path=xl/worksheets/sheet5.xml><?xml version="1.0" encoding="utf-8"?>
<worksheet xmlns="http://schemas.openxmlformats.org/spreadsheetml/2006/main" xmlns:r="http://schemas.openxmlformats.org/officeDocument/2006/relationships">
  <sheetPr codeName="Sheet1"/>
  <dimension ref="A2:Q55"/>
  <sheetViews>
    <sheetView workbookViewId="0" topLeftCell="D1">
      <selection activeCell="J8" sqref="J8"/>
    </sheetView>
  </sheetViews>
  <sheetFormatPr defaultColWidth="9.140625" defaultRowHeight="12.75"/>
  <cols>
    <col min="1" max="1" width="4.421875" style="63" customWidth="1"/>
    <col min="2" max="2" width="9.7109375" style="63" customWidth="1"/>
    <col min="3" max="3" width="15.28125" style="9" customWidth="1"/>
    <col min="5" max="6" width="12.421875" style="0" bestFit="1" customWidth="1"/>
    <col min="7" max="7" width="9.57421875" style="0" customWidth="1"/>
    <col min="8" max="8" width="8.140625" style="0" customWidth="1"/>
    <col min="9" max="9" width="27.421875" style="66" customWidth="1"/>
    <col min="10" max="10" width="36.421875" style="0" customWidth="1"/>
    <col min="11" max="11" width="3.57421875" style="0" customWidth="1"/>
    <col min="12" max="12" width="6.7109375" style="0" customWidth="1"/>
    <col min="13" max="13" width="13.28125" style="0" customWidth="1"/>
    <col min="15" max="15" width="4.28125" style="63" customWidth="1"/>
    <col min="16" max="16" width="3.421875" style="63" customWidth="1"/>
    <col min="17" max="17" width="100.7109375" style="0" customWidth="1"/>
  </cols>
  <sheetData>
    <row r="1" ht="12.75"/>
    <row r="2" ht="12.75">
      <c r="E2" t="s">
        <v>569</v>
      </c>
    </row>
    <row r="3" ht="12.75">
      <c r="E3" s="4" t="s">
        <v>583</v>
      </c>
    </row>
    <row r="4" spans="3:4" ht="12.75">
      <c r="C4" s="9">
        <v>6451058790</v>
      </c>
      <c r="D4" t="s">
        <v>599</v>
      </c>
    </row>
    <row r="5" spans="3:4" ht="12.75">
      <c r="C5" s="9">
        <v>296410404</v>
      </c>
      <c r="D5" t="s">
        <v>582</v>
      </c>
    </row>
    <row r="6" spans="1:16" s="3" customFormat="1" ht="12.75">
      <c r="A6" s="75"/>
      <c r="B6" s="75" t="s">
        <v>580</v>
      </c>
      <c r="C6" s="77"/>
      <c r="F6" s="13" t="s">
        <v>551</v>
      </c>
      <c r="H6" s="3" t="s">
        <v>580</v>
      </c>
      <c r="I6" s="68" t="s">
        <v>579</v>
      </c>
      <c r="J6" s="3" t="s">
        <v>581</v>
      </c>
      <c r="O6" s="75"/>
      <c r="P6" s="75"/>
    </row>
    <row r="7" spans="2:17" ht="12.75">
      <c r="B7" s="63" t="s">
        <v>571</v>
      </c>
      <c r="C7" s="78" t="s">
        <v>560</v>
      </c>
      <c r="D7" t="s">
        <v>550</v>
      </c>
      <c r="E7" t="s">
        <v>561</v>
      </c>
      <c r="F7" s="6">
        <f>C7*Units!J$18/1000000</f>
        <v>105374758336275.12</v>
      </c>
      <c r="G7" t="s">
        <v>260</v>
      </c>
      <c r="H7" s="63" t="str">
        <f>B7</f>
        <v>usE</v>
      </c>
      <c r="I7" s="66" t="s">
        <v>602</v>
      </c>
      <c r="J7" t="s">
        <v>122</v>
      </c>
      <c r="K7" s="45">
        <f>FLOOR(9+LOG(F7),1)-9</f>
        <v>14</v>
      </c>
      <c r="L7" s="39">
        <f>F7/(10^K7)</f>
        <v>1.0537475833627512</v>
      </c>
      <c r="M7" s="47" t="str">
        <f>FIXED(L7,7)&amp;"e"&amp;K7</f>
        <v>1.0537476e14</v>
      </c>
      <c r="N7" s="67" t="s">
        <v>544</v>
      </c>
      <c r="O7" s="63" t="s">
        <v>512</v>
      </c>
      <c r="P7" s="63" t="s">
        <v>513</v>
      </c>
      <c r="Q7" s="68" t="str">
        <f>CONCATENATE(N7,H7,O7,I7,O7,J7,O7,M7,P7)</f>
        <v>$events[] = array("usE", "Energy-year (US)", "Total US energy consumption during 2005. This is primary energy consumption. Hence 100 MWh of electricity produced by burning coal is counted as roughly 300 MWh of primary energy--the energy in the coal used to generate it, and the 100 MWh of electricity is not counted.", "1.0537476e14");</v>
      </c>
    </row>
    <row r="8" spans="2:17" ht="12.75">
      <c r="B8" t="s">
        <v>534</v>
      </c>
      <c r="C8" s="9">
        <f>(C7/C5)/365</f>
        <v>9.231554392818438E-10</v>
      </c>
      <c r="D8" t="s">
        <v>550</v>
      </c>
      <c r="F8" s="6">
        <f>C8*Units!J$18/1000000</f>
        <v>973.9805490922963</v>
      </c>
      <c r="G8" t="s">
        <v>260</v>
      </c>
      <c r="H8" s="63" t="str">
        <f>B8</f>
        <v>USpd</v>
      </c>
      <c r="I8" t="s">
        <v>603</v>
      </c>
      <c r="J8" t="s">
        <v>611</v>
      </c>
      <c r="K8" s="45">
        <f>FLOOR(9+LOG(F8),1)-9</f>
        <v>2</v>
      </c>
      <c r="L8" s="39">
        <f>F8/(10^K8)</f>
        <v>9.739805490922963</v>
      </c>
      <c r="M8" s="47" t="str">
        <f>FIXED(L8,7)&amp;"e"&amp;K8</f>
        <v>9.7398055e2</v>
      </c>
      <c r="N8" s="67" t="s">
        <v>544</v>
      </c>
      <c r="O8" s="63" t="s">
        <v>512</v>
      </c>
      <c r="P8" s="63" t="s">
        <v>513</v>
      </c>
      <c r="Q8" s="68" t="str">
        <f>CONCATENATE(N8,H8,O8,I8,O8,J8,O8,M8,P8)</f>
        <v>$events[] = array("USpd", "Energy-person-day (US)", "Total US energy consumption per person per day, on average, during 2005.", "9.7398055e2");</v>
      </c>
    </row>
    <row r="9" spans="2:17" ht="12.75">
      <c r="B9" s="63" t="s">
        <v>600</v>
      </c>
      <c r="C9" s="9">
        <f>C35</f>
        <v>460.3322894230478</v>
      </c>
      <c r="D9" t="s">
        <v>550</v>
      </c>
      <c r="E9" t="s">
        <v>597</v>
      </c>
      <c r="F9" s="6">
        <f>C9*Units!J$18/1000000</f>
        <v>485676276105750.3</v>
      </c>
      <c r="G9" t="s">
        <v>260</v>
      </c>
      <c r="H9" s="63" t="str">
        <f>B9</f>
        <v>WE</v>
      </c>
      <c r="I9" s="66" t="s">
        <v>609</v>
      </c>
      <c r="J9" s="63" t="s">
        <v>626</v>
      </c>
      <c r="K9" s="45">
        <f>FLOOR(9+LOG(F9),1)-9</f>
        <v>14</v>
      </c>
      <c r="L9" s="39">
        <f>F9/(10^K9)</f>
        <v>4.856762761057503</v>
      </c>
      <c r="M9" s="47" t="str">
        <f>FIXED(L9,7)&amp;"e"&amp;K9</f>
        <v>4.8567628e14</v>
      </c>
      <c r="N9" s="67" t="s">
        <v>544</v>
      </c>
      <c r="O9" s="63" t="s">
        <v>512</v>
      </c>
      <c r="P9" s="63" t="s">
        <v>513</v>
      </c>
      <c r="Q9" s="68" t="str">
        <f>CONCATENATE(N9,H9,O9,I9,O9,J9,O9,M9,P9)</f>
        <v>$events[] = array("WE", "Energy year (World)", "Total World oil consumption during 2005.", "4.8567628e14");</v>
      </c>
    </row>
    <row r="10" spans="2:17" ht="12.75">
      <c r="B10" s="63" t="s">
        <v>601</v>
      </c>
      <c r="C10" s="9">
        <f>(C9/C4)/365</f>
        <v>1.955003660079329E-10</v>
      </c>
      <c r="D10" t="s">
        <v>550</v>
      </c>
      <c r="E10" t="s">
        <v>597</v>
      </c>
      <c r="F10" s="6">
        <f>C10*Units!J$18/1000000</f>
        <v>206.2638053460217</v>
      </c>
      <c r="G10" t="s">
        <v>260</v>
      </c>
      <c r="H10" s="63" t="str">
        <f>B10</f>
        <v>WEpd</v>
      </c>
      <c r="I10" s="66" t="s">
        <v>610</v>
      </c>
      <c r="J10" s="63" t="s">
        <v>625</v>
      </c>
      <c r="K10" s="45">
        <f>FLOOR(9+LOG(F10),1)-9</f>
        <v>2</v>
      </c>
      <c r="L10" s="39">
        <f>F10/(10^K10)</f>
        <v>2.0626380534602173</v>
      </c>
      <c r="M10" s="47" t="str">
        <f>FIXED(L10,7)&amp;"e"&amp;K10</f>
        <v>2.0626381e2</v>
      </c>
      <c r="N10" s="67" t="s">
        <v>544</v>
      </c>
      <c r="O10" s="63" t="s">
        <v>512</v>
      </c>
      <c r="P10" s="63" t="s">
        <v>513</v>
      </c>
      <c r="Q10" s="68" t="str">
        <f>CONCATENATE(N10,H10,O10,I10,O10,J10,O10,M10,P10)</f>
        <v>$events[] = array("WEpd", "Energy-person-day (World)", "Total World oil consumption per person per day during 2005.", "2.0626381e2");</v>
      </c>
    </row>
    <row r="11" spans="2:17" ht="12.75">
      <c r="B11" s="63" t="s">
        <v>570</v>
      </c>
      <c r="C11" s="78" t="s">
        <v>565</v>
      </c>
      <c r="D11" t="s">
        <v>550</v>
      </c>
      <c r="E11" t="s">
        <v>561</v>
      </c>
      <c r="F11" s="6">
        <f>C11*Units!J$18/1000000</f>
        <v>90668334806604.94</v>
      </c>
      <c r="G11" t="s">
        <v>260</v>
      </c>
      <c r="H11" s="63" t="str">
        <f>B11</f>
        <v>usFF</v>
      </c>
      <c r="I11" s="66" t="s">
        <v>116</v>
      </c>
      <c r="J11" s="63" t="s">
        <v>614</v>
      </c>
      <c r="K11" s="45">
        <f>FLOOR(9+LOG(F11),1)-9</f>
        <v>13</v>
      </c>
      <c r="L11" s="39">
        <f>F11/(10^K11)</f>
        <v>9.066833480660494</v>
      </c>
      <c r="M11" s="47" t="str">
        <f>FIXED(L11,7)&amp;"e"&amp;K11</f>
        <v>9.0668335e13</v>
      </c>
      <c r="N11" s="67" t="s">
        <v>544</v>
      </c>
      <c r="O11" s="63" t="s">
        <v>512</v>
      </c>
      <c r="P11" s="63" t="s">
        <v>513</v>
      </c>
      <c r="Q11" s="68" t="str">
        <f>CONCATENATE(N11,H11,O11,I11,O11,J11,O11,M11,P11)</f>
        <v>$events[] = array("usFF", "Fossil-consumption-year (US)", "Total US fossil energy consumed during 2005.", "9.0668335e13");</v>
      </c>
    </row>
    <row r="12" spans="2:17" ht="12.75">
      <c r="B12" s="63" t="s">
        <v>598</v>
      </c>
      <c r="C12" s="9">
        <v>54.971</v>
      </c>
      <c r="D12" t="s">
        <v>550</v>
      </c>
      <c r="E12" t="s">
        <v>561</v>
      </c>
      <c r="F12" s="6">
        <f>C12*Units!J$18/1000000</f>
        <v>57997475274374.016</v>
      </c>
      <c r="G12" t="s">
        <v>260</v>
      </c>
      <c r="H12" s="63" t="str">
        <f>B12</f>
        <v>usFprod</v>
      </c>
      <c r="I12" s="66" t="s">
        <v>606</v>
      </c>
      <c r="J12" s="63" t="s">
        <v>615</v>
      </c>
      <c r="K12" s="45">
        <f>FLOOR(9+LOG(F12),1)-9</f>
        <v>13</v>
      </c>
      <c r="L12" s="39">
        <f>F12/(10^K12)</f>
        <v>5.799747527437401</v>
      </c>
      <c r="M12" s="47" t="str">
        <f>FIXED(L12,7)&amp;"e"&amp;K12</f>
        <v>5.7997475e13</v>
      </c>
      <c r="N12" s="67" t="s">
        <v>544</v>
      </c>
      <c r="O12" s="63" t="s">
        <v>512</v>
      </c>
      <c r="P12" s="63" t="s">
        <v>513</v>
      </c>
      <c r="Q12" s="68" t="str">
        <f>CONCATENATE(N12,H12,O12,I12,O12,J12,O12,M12,P12)</f>
        <v>$events[] = array("usFprod", "Fossil-production-year (US)", "Total US fossil energy produced during 2005.", "5.7997475e13");</v>
      </c>
    </row>
    <row r="13" spans="2:17" ht="12.75">
      <c r="B13" s="63" t="s">
        <v>575</v>
      </c>
      <c r="C13" s="9">
        <f>29.621-0.084</f>
        <v>29.537</v>
      </c>
      <c r="D13" t="s">
        <v>550</v>
      </c>
      <c r="E13" t="s">
        <v>561</v>
      </c>
      <c r="F13" s="6">
        <f>C13*Units!J$18/1000000</f>
        <v>31163184718836.94</v>
      </c>
      <c r="G13" t="s">
        <v>260</v>
      </c>
      <c r="H13" s="63" t="str">
        <f>B13</f>
        <v>usFimp</v>
      </c>
      <c r="I13" s="66" t="s">
        <v>633</v>
      </c>
      <c r="J13" s="63" t="s">
        <v>617</v>
      </c>
      <c r="K13" s="45">
        <f>FLOOR(9+LOG(F13),1)-9</f>
        <v>13</v>
      </c>
      <c r="L13" s="39">
        <f>F13/(10^K13)</f>
        <v>3.116318471883694</v>
      </c>
      <c r="M13" s="47" t="str">
        <f>FIXED(L13,7)&amp;"e"&amp;K13</f>
        <v>3.1163185e13</v>
      </c>
      <c r="N13" s="67" t="s">
        <v>544</v>
      </c>
      <c r="O13" s="63" t="s">
        <v>512</v>
      </c>
      <c r="P13" s="63" t="s">
        <v>513</v>
      </c>
      <c r="Q13" s="68" t="str">
        <f>CONCATENATE(N13,H13,O13,I13,O13,J13,O13,M13,P13)</f>
        <v>$events[] = array("usFimp", "Fossil-import-year (US)", "Total US fossil imports during 2005.", "3.1163185e13");</v>
      </c>
    </row>
    <row r="14" spans="2:17" ht="12.75">
      <c r="B14" s="63" t="s">
        <v>577</v>
      </c>
      <c r="C14" s="9">
        <v>21.85</v>
      </c>
      <c r="D14" t="s">
        <v>550</v>
      </c>
      <c r="E14" t="s">
        <v>561</v>
      </c>
      <c r="F14" s="6">
        <f>C14*Units!J$18/1000000</f>
        <v>23052970379747</v>
      </c>
      <c r="G14" t="s">
        <v>260</v>
      </c>
      <c r="H14" s="63" t="str">
        <f>B14</f>
        <v>usOimp</v>
      </c>
      <c r="I14" s="66" t="s">
        <v>608</v>
      </c>
      <c r="J14" s="63" t="s">
        <v>619</v>
      </c>
      <c r="K14" s="45">
        <f>FLOOR(9+LOG(F14),1)-9</f>
        <v>13</v>
      </c>
      <c r="L14" s="39">
        <f>F14/(10^K14)</f>
        <v>2.3052970379747</v>
      </c>
      <c r="M14" s="47" t="str">
        <f>FIXED(L14,7)&amp;"e"&amp;K14</f>
        <v>2.3052970e13</v>
      </c>
      <c r="N14" s="67" t="s">
        <v>544</v>
      </c>
      <c r="O14" s="63" t="s">
        <v>512</v>
      </c>
      <c r="P14" s="63" t="s">
        <v>513</v>
      </c>
      <c r="Q14" s="68" t="str">
        <f>CONCATENATE(N14,H14,O14,I14,O14,J14,O14,M14,P14)</f>
        <v>$events[] = array("usOimp", "Oil-import-year (US)", "Total US oil imports during 2005.", "2.3052970e13");</v>
      </c>
    </row>
    <row r="15" spans="2:17" ht="12.75">
      <c r="B15" s="63" t="s">
        <v>578</v>
      </c>
      <c r="C15" s="9">
        <f>0.17*C14</f>
        <v>3.7145000000000006</v>
      </c>
      <c r="D15" t="s">
        <v>550</v>
      </c>
      <c r="E15" t="s">
        <v>561</v>
      </c>
      <c r="F15" s="6">
        <f>C15*Units!J$18/1000000</f>
        <v>3919004964556.99</v>
      </c>
      <c r="G15" t="s">
        <v>260</v>
      </c>
      <c r="H15" s="63" t="str">
        <f>B15</f>
        <v>usPersia</v>
      </c>
      <c r="I15" s="66" t="s">
        <v>632</v>
      </c>
      <c r="J15" s="63" t="s">
        <v>620</v>
      </c>
      <c r="K15" s="45">
        <f>FLOOR(9+LOG(F15),1)-9</f>
        <v>12</v>
      </c>
      <c r="L15" s="39">
        <f>F15/(10^K15)</f>
        <v>3.9190049645569904</v>
      </c>
      <c r="M15" s="47" t="str">
        <f>FIXED(L15,7)&amp;"e"&amp;K15</f>
        <v>3.9190050e12</v>
      </c>
      <c r="N15" s="67" t="s">
        <v>544</v>
      </c>
      <c r="O15" s="63" t="s">
        <v>512</v>
      </c>
      <c r="P15" s="63" t="s">
        <v>513</v>
      </c>
      <c r="Q15" s="68" t="str">
        <f>CONCATENATE(N15,H15,O15,I15,O15,J15,O15,M15,P15)</f>
        <v>$events[] = array("usPersia", "Persian-gulf-import-year (US)", "Total US fossil imports from Persian Gulf during 2005.", "3.9190050e12");</v>
      </c>
    </row>
    <row r="16" spans="2:17" ht="12.75">
      <c r="B16" s="63" t="s">
        <v>576</v>
      </c>
      <c r="C16" s="9">
        <v>3.594</v>
      </c>
      <c r="D16" t="s">
        <v>550</v>
      </c>
      <c r="E16" t="s">
        <v>561</v>
      </c>
      <c r="F16" s="6">
        <f>C16*Units!J$18/1000000</f>
        <v>3791870734316.28</v>
      </c>
      <c r="G16" t="s">
        <v>260</v>
      </c>
      <c r="H16" s="63" t="str">
        <f>B16</f>
        <v>usNG</v>
      </c>
      <c r="I16" s="66" t="s">
        <v>634</v>
      </c>
      <c r="J16" s="63" t="s">
        <v>618</v>
      </c>
      <c r="K16" s="45">
        <f>FLOOR(9+LOG(F16),1)-9</f>
        <v>12</v>
      </c>
      <c r="L16" s="39">
        <f>F16/(10^K16)</f>
        <v>3.7918707343162796</v>
      </c>
      <c r="M16" s="47" t="str">
        <f>FIXED(L16,7)&amp;"e"&amp;K16</f>
        <v>3.7918707e12</v>
      </c>
      <c r="N16" s="67" t="s">
        <v>544</v>
      </c>
      <c r="O16" s="63" t="s">
        <v>512</v>
      </c>
      <c r="P16" s="63" t="s">
        <v>513</v>
      </c>
      <c r="Q16" s="68" t="str">
        <f>CONCATENATE(N16,H16,O16,I16,O16,J16,O16,M16,P16)</f>
        <v>$events[] = array("usNG", "Natural-gas-year (US)", "Total US natural gas imports during 2005.", "3.7918707e12");</v>
      </c>
    </row>
    <row r="17" spans="2:17" ht="12.75">
      <c r="B17" s="63" t="s">
        <v>103</v>
      </c>
      <c r="C17" s="8">
        <v>4038</v>
      </c>
      <c r="D17" t="s">
        <v>107</v>
      </c>
      <c r="E17" t="s">
        <v>108</v>
      </c>
      <c r="F17" s="6">
        <f>C17*1000000000*1000*3600/1000000</f>
        <v>14536800000000</v>
      </c>
      <c r="H17" s="63" t="str">
        <f>B17</f>
        <v>usElec</v>
      </c>
      <c r="I17" s="66" t="s">
        <v>106</v>
      </c>
      <c r="J17" s="63" t="s">
        <v>109</v>
      </c>
      <c r="K17" s="45">
        <f>FLOOR(9+LOG(F17),1)-9</f>
        <v>13</v>
      </c>
      <c r="L17" s="39">
        <f>F17/(10^K17)</f>
        <v>1.45368</v>
      </c>
      <c r="M17" s="47" t="str">
        <f>FIXED(L17,7)&amp;"e"&amp;K17</f>
        <v>1.4536800e13</v>
      </c>
      <c r="N17" s="67" t="s">
        <v>544</v>
      </c>
      <c r="O17" s="63" t="s">
        <v>512</v>
      </c>
      <c r="P17" s="63" t="s">
        <v>513</v>
      </c>
      <c r="Q17" s="68" t="str">
        <f>CONCATENATE(N17,H17,O17,I17,O17,J17,O17,M17,P17)</f>
        <v>$events[] = array("usElec", "Electricity-year (US)", "Total energy in electricity generated (plus net imports) in the US during 2005. Includes losses (about 6%). It takes almost 3 times this much energy to generate this electricity.", "1.4536800e13");</v>
      </c>
    </row>
    <row r="18" spans="2:17" ht="12.75">
      <c r="B18" s="63" t="s">
        <v>104</v>
      </c>
      <c r="C18" s="8">
        <v>39850</v>
      </c>
      <c r="D18" t="s">
        <v>105</v>
      </c>
      <c r="E18" t="s">
        <v>110</v>
      </c>
      <c r="F18" s="6">
        <f>C18*1000000000000*Units!J$7/1000000</f>
        <v>42043975726907</v>
      </c>
      <c r="G18" t="s">
        <v>260</v>
      </c>
      <c r="H18" s="63" t="str">
        <f>B18</f>
        <v>usPrimeEl</v>
      </c>
      <c r="I18" s="66" t="s">
        <v>114</v>
      </c>
      <c r="J18" s="63" t="s">
        <v>111</v>
      </c>
      <c r="K18" s="45">
        <f>FLOOR(9+LOG(F18),1)-9</f>
        <v>13</v>
      </c>
      <c r="L18" s="39">
        <f>F18/(10^K18)</f>
        <v>4.2043975726907</v>
      </c>
      <c r="M18" s="47" t="str">
        <f>FIXED(L18,7)&amp;"e"&amp;K18</f>
        <v>4.2043976e13</v>
      </c>
      <c r="N18" s="67" t="s">
        <v>544</v>
      </c>
      <c r="O18" s="63" t="s">
        <v>512</v>
      </c>
      <c r="P18" s="63" t="s">
        <v>513</v>
      </c>
      <c r="Q18" s="68" t="str">
        <f>CONCATENATE(N18,H18,O18,I18,O18,J18,O18,M18,P18)</f>
        <v>$events[] = array("usPrimeEl", "Energy-for-electricity, 1 US-year", "Total primary energy used to generate the electricity consumed in the US in 2005. Nuclear, renewable generation and net imports are assumed to be 100% efficient. That is, a hydro generator that produces a kWh is assumed to use 1 kWh of primary energy. Inefficiency is tracked only for compustable fuels, which account for 70% of primary energy.", "4.2043976e13");</v>
      </c>
    </row>
    <row r="19" spans="2:17" ht="12.75">
      <c r="B19" s="63" t="s">
        <v>112</v>
      </c>
      <c r="C19" s="8">
        <v>27946</v>
      </c>
      <c r="D19" t="s">
        <v>105</v>
      </c>
      <c r="E19" t="s">
        <v>110</v>
      </c>
      <c r="F19" s="6">
        <f>C19*1000000000000*Units!J$7/1000000</f>
        <v>29484590857318.52</v>
      </c>
      <c r="G19" t="s">
        <v>260</v>
      </c>
      <c r="H19" s="63" t="str">
        <f>B19</f>
        <v>usF4Elec</v>
      </c>
      <c r="I19" s="66" t="s">
        <v>113</v>
      </c>
      <c r="J19" s="63" t="s">
        <v>115</v>
      </c>
      <c r="K19" s="45">
        <f>FLOOR(9+LOG(F19),1)-9</f>
        <v>13</v>
      </c>
      <c r="L19" s="39">
        <f>F19/(10^K19)</f>
        <v>2.948459085731852</v>
      </c>
      <c r="M19" s="47" t="str">
        <f>FIXED(L19,7)&amp;"e"&amp;K19</f>
        <v>2.9484591e13</v>
      </c>
      <c r="N19" s="67" t="s">
        <v>544</v>
      </c>
      <c r="O19" s="63" t="s">
        <v>512</v>
      </c>
      <c r="P19" s="63" t="s">
        <v>513</v>
      </c>
      <c r="Q19" s="68" t="str">
        <f>CONCATENATE(N19,H19,O19,I19,O19,J19,O19,M19,P19)</f>
        <v>$events[] = array("usF4Elec", "Fossil-for-electricity, 1 US-year", "Total fossil energy used in generating electricity in the US durring 2005.", "2.9484591e13");</v>
      </c>
    </row>
    <row r="20" spans="2:17" ht="12.75">
      <c r="B20" s="63" t="s">
        <v>574</v>
      </c>
      <c r="C20" s="78" t="s">
        <v>566</v>
      </c>
      <c r="D20" t="s">
        <v>550</v>
      </c>
      <c r="E20" t="s">
        <v>561</v>
      </c>
      <c r="F20" s="6">
        <f>C20*Units!J$18/1000000</f>
        <v>8580769249358.459</v>
      </c>
      <c r="H20" s="63" t="str">
        <f>B20</f>
        <v>usNuc</v>
      </c>
      <c r="I20" s="66" t="s">
        <v>607</v>
      </c>
      <c r="J20" s="63" t="s">
        <v>616</v>
      </c>
      <c r="K20" s="45">
        <f>FLOOR(9+LOG(F20),1)-9</f>
        <v>12</v>
      </c>
      <c r="L20" s="39">
        <f>F20/(10^K20)</f>
        <v>8.58076924935846</v>
      </c>
      <c r="M20" s="47" t="str">
        <f>FIXED(L20,7)&amp;"e"&amp;K20</f>
        <v>8.5807692e12</v>
      </c>
      <c r="N20" s="67" t="s">
        <v>544</v>
      </c>
      <c r="O20" s="63" t="s">
        <v>512</v>
      </c>
      <c r="P20" s="63" t="s">
        <v>513</v>
      </c>
      <c r="Q20" s="68" t="str">
        <f>CONCATENATE(N20,H20,O20,I20,O20,J20,O20,M20,P20)</f>
        <v>$events[] = array("usNuc", "Nuclear-power-year (US)", "Total US nuclear energy produced during 2005.", "8.5807692e12");</v>
      </c>
    </row>
    <row r="21" spans="2:17" ht="12.75">
      <c r="B21" s="63" t="s">
        <v>627</v>
      </c>
      <c r="C21" s="6">
        <f>340000000000000</f>
        <v>340000000000000</v>
      </c>
      <c r="D21" t="s">
        <v>129</v>
      </c>
      <c r="E21" t="s">
        <v>561</v>
      </c>
      <c r="F21" s="6">
        <f>C21*Units!J7/1000000</f>
        <v>358718989890.8</v>
      </c>
      <c r="H21" s="63" t="str">
        <f>B21</f>
        <v>usEnol</v>
      </c>
      <c r="I21" s="66" t="s">
        <v>628</v>
      </c>
      <c r="J21" s="63" t="s">
        <v>630</v>
      </c>
      <c r="K21" s="45">
        <f>FLOOR(9+LOG(F21),1)-9</f>
        <v>11</v>
      </c>
      <c r="L21" s="39">
        <f>F21/(10^K21)</f>
        <v>3.587189898908</v>
      </c>
      <c r="M21" s="47" t="str">
        <f>FIXED(L21,7)&amp;"e"&amp;K21</f>
        <v>3.5871899e11</v>
      </c>
      <c r="N21" s="67" t="s">
        <v>544</v>
      </c>
      <c r="O21" s="63" t="s">
        <v>512</v>
      </c>
      <c r="P21" s="63" t="s">
        <v>513</v>
      </c>
      <c r="Q21" s="68" t="str">
        <f>CONCATENATE(N21,H21,O21,I21,O21,J21,O21,M21,P21)</f>
        <v>$events[] = array("usEnol", "Ethanol-year (US)", "Total alcohol fuels (mainly ethanol) produced during 2005 in the US.", "3.5871899e11");</v>
      </c>
    </row>
    <row r="22" spans="2:17" ht="12.75">
      <c r="B22" s="63" t="s">
        <v>629</v>
      </c>
      <c r="F22" s="6">
        <f>F21*(1.34-1)/1.34</f>
        <v>91018251166.3224</v>
      </c>
      <c r="H22" s="63" t="str">
        <f>B22</f>
        <v>usEsave</v>
      </c>
      <c r="I22" s="66" t="s">
        <v>635</v>
      </c>
      <c r="J22" s="63" t="s">
        <v>631</v>
      </c>
      <c r="K22" s="45">
        <f>FLOOR(9+LOG(F22),1)-9</f>
        <v>10</v>
      </c>
      <c r="L22" s="39">
        <f>F22/(10^K22)</f>
        <v>9.10182511663224</v>
      </c>
      <c r="M22" s="47" t="str">
        <f>FIXED(L22,7)&amp;"e"&amp;K22</f>
        <v>9.1018251e10</v>
      </c>
      <c r="N22" s="67" t="s">
        <v>544</v>
      </c>
      <c r="O22" s="63" t="s">
        <v>512</v>
      </c>
      <c r="P22" s="63" t="s">
        <v>513</v>
      </c>
      <c r="Q22" s="68" t="str">
        <f>CONCATENATE(N22,H22,O22,I22,O22,J22,O22,M22,P22)</f>
        <v>$events[] = array("usEsave", "Energy-saved-by-ethanol year", "Total energy saved by the production of ethanol during 2005 in the US. Based on the Dept. of Agricultures energy ratio of 1.34 for corn ethanol production. This means 1.34 energy units of ethanol use up 1 unit of input energy. So for each 1.34 units of ethanol energy produced there is a net gain of only 0.34 energy units.", "9.1018251e10");</v>
      </c>
    </row>
    <row r="23" spans="2:17" ht="12.75">
      <c r="B23" s="63" t="s">
        <v>573</v>
      </c>
      <c r="C23" s="78" t="s">
        <v>563</v>
      </c>
      <c r="D23" t="s">
        <v>550</v>
      </c>
      <c r="E23" t="s">
        <v>561</v>
      </c>
      <c r="F23" s="6">
        <f>C23*Units!J$18/1000000</f>
        <v>157203322040.38</v>
      </c>
      <c r="H23" s="63" t="str">
        <f>B23</f>
        <v>usWind</v>
      </c>
      <c r="I23" s="66" t="s">
        <v>604</v>
      </c>
      <c r="J23" s="63" t="s">
        <v>612</v>
      </c>
      <c r="K23" s="45">
        <f>FLOOR(9+LOG(F23),1)-9</f>
        <v>11</v>
      </c>
      <c r="L23" s="39">
        <f>F23/(10^K23)</f>
        <v>1.5720332204038001</v>
      </c>
      <c r="M23" s="47" t="str">
        <f>FIXED(L23,7)&amp;"e"&amp;K23</f>
        <v>1.5720332e11</v>
      </c>
      <c r="N23" s="67" t="s">
        <v>544</v>
      </c>
      <c r="O23" s="63" t="s">
        <v>512</v>
      </c>
      <c r="P23" s="63" t="s">
        <v>513</v>
      </c>
      <c r="Q23" s="68" t="str">
        <f>CONCATENATE(N23,H23,O23,I23,O23,J23,O23,M23,P23)</f>
        <v>$events[] = array("usWind", "Wind-year (US)", "Total US wind energy produced during 2005.", "1.5720332e11");</v>
      </c>
    </row>
    <row r="24" spans="2:17" ht="12.75">
      <c r="B24" s="63" t="s">
        <v>572</v>
      </c>
      <c r="C24" s="78" t="s">
        <v>564</v>
      </c>
      <c r="D24" t="s">
        <v>550</v>
      </c>
      <c r="E24" t="s">
        <v>561</v>
      </c>
      <c r="F24" s="6">
        <f>C24*Units!J$18/1000000</f>
        <v>67523574567.68</v>
      </c>
      <c r="H24" s="63" t="str">
        <f>B24</f>
        <v>usSol</v>
      </c>
      <c r="I24" s="66" t="s">
        <v>605</v>
      </c>
      <c r="J24" s="63" t="s">
        <v>613</v>
      </c>
      <c r="K24" s="45">
        <f>FLOOR(9+LOG(F24),1)-9</f>
        <v>10</v>
      </c>
      <c r="L24" s="39">
        <f>F24/(10^K24)</f>
        <v>6.752357456768</v>
      </c>
      <c r="M24" s="47" t="str">
        <f>FIXED(L24,7)&amp;"e"&amp;K24</f>
        <v>6.7523575e10</v>
      </c>
      <c r="N24" s="67" t="s">
        <v>544</v>
      </c>
      <c r="O24" s="63" t="s">
        <v>512</v>
      </c>
      <c r="P24" s="63" t="s">
        <v>513</v>
      </c>
      <c r="Q24" s="68" t="str">
        <f>CONCATENATE(N24,H24,O24,I24,O24,J24,O24,M24,P24)</f>
        <v>$events[] = array("usSol", "Solar-energy-year (US)", "Total US solar energy used for heating or electricity generation during 2005.", "6.7523575e10");</v>
      </c>
    </row>
    <row r="25" spans="2:17" ht="12.75">
      <c r="B25" t="s">
        <v>535</v>
      </c>
      <c r="C25" s="6">
        <v>83720000000000</v>
      </c>
      <c r="D25" t="s">
        <v>134</v>
      </c>
      <c r="F25" s="6">
        <f>C25/1000000</f>
        <v>83720000</v>
      </c>
      <c r="H25" s="63" t="str">
        <f>B25</f>
        <v>A-b</v>
      </c>
      <c r="I25" t="s">
        <v>536</v>
      </c>
      <c r="J25" t="s">
        <v>621</v>
      </c>
      <c r="K25" s="45">
        <f>FLOOR(9+LOG(F25),1)-9</f>
        <v>7</v>
      </c>
      <c r="L25" s="39">
        <f>F25/(10^K25)</f>
        <v>8.372</v>
      </c>
      <c r="M25" s="47" t="str">
        <f>FIXED(L25,7)&amp;"e"&amp;K25</f>
        <v>8.3720000e7</v>
      </c>
      <c r="N25" s="67" t="s">
        <v>544</v>
      </c>
      <c r="O25" s="63" t="s">
        <v>512</v>
      </c>
      <c r="P25" s="63" t="s">
        <v>513</v>
      </c>
      <c r="Q25" s="68" t="str">
        <f>CONCATENATE(N25,H25,O25,I25,O25,J25,O25,M25,P25)</f>
        <v>$events[] = array("A-b", "A-bomb", "Hiroshima bomb (20 kilotons), 1945.", "8.3720000e7");</v>
      </c>
    </row>
    <row r="26" spans="2:17" ht="12.75">
      <c r="B26" t="s">
        <v>537</v>
      </c>
      <c r="C26" s="6">
        <v>48000000000000000</v>
      </c>
      <c r="D26" t="s">
        <v>134</v>
      </c>
      <c r="F26" s="6">
        <f>C26/1000000</f>
        <v>48000000000</v>
      </c>
      <c r="H26" s="63" t="str">
        <f>B26</f>
        <v>quake</v>
      </c>
      <c r="I26" t="s">
        <v>540</v>
      </c>
      <c r="J26" t="s">
        <v>622</v>
      </c>
      <c r="K26" s="45">
        <f>FLOOR(9+LOG(F26),1)-9</f>
        <v>10</v>
      </c>
      <c r="L26" s="39">
        <f>F26/(10^K26)</f>
        <v>4.8</v>
      </c>
      <c r="M26" s="47" t="str">
        <f>FIXED(L26,7)&amp;"e"&amp;K26</f>
        <v>4.8000000e10</v>
      </c>
      <c r="N26" s="67" t="s">
        <v>544</v>
      </c>
      <c r="O26" s="63" t="s">
        <v>512</v>
      </c>
      <c r="P26" s="63" t="s">
        <v>513</v>
      </c>
      <c r="Q26" s="68" t="str">
        <f>CONCATENATE(N26,H26,O26,I26,O26,J26,O26,M26,P26)</f>
        <v>$events[] = array("quake", "Earth quake", "Energy released by a magnitude 8 earthquake.", "4.8000000e10");</v>
      </c>
    </row>
    <row r="27" spans="2:17" ht="12.75">
      <c r="B27" t="s">
        <v>538</v>
      </c>
      <c r="C27" s="6">
        <v>2.428E+17</v>
      </c>
      <c r="D27" t="s">
        <v>134</v>
      </c>
      <c r="F27" s="6">
        <f>C27/1000000</f>
        <v>242800000000</v>
      </c>
      <c r="H27" s="63" t="str">
        <f>B27</f>
        <v>H-b</v>
      </c>
      <c r="I27" t="s">
        <v>541</v>
      </c>
      <c r="J27" t="s">
        <v>623</v>
      </c>
      <c r="K27" s="45">
        <f>FLOOR(9+LOG(F27),1)-9</f>
        <v>11</v>
      </c>
      <c r="L27" s="39">
        <f>F27/(10^K27)</f>
        <v>2.428</v>
      </c>
      <c r="M27" s="47" t="str">
        <f>FIXED(L27,7)&amp;"e"&amp;K27</f>
        <v>2.4280000e11</v>
      </c>
      <c r="N27" s="67" t="s">
        <v>544</v>
      </c>
      <c r="O27" s="63" t="s">
        <v>512</v>
      </c>
      <c r="P27" s="63" t="s">
        <v>513</v>
      </c>
      <c r="Q27" s="68" t="str">
        <f>CONCATENATE(N27,H27,O27,I27,O27,J27,O27,M27,P27)</f>
        <v>$events[] = array("H-b", "H-bomb", "Largest H-bomb tested (58 Megatons). Soviet Union, 1961.", "2.4280000e11");</v>
      </c>
    </row>
    <row r="28" spans="2:17" ht="12.75">
      <c r="B28" t="s">
        <v>539</v>
      </c>
      <c r="C28" s="6">
        <v>6.2E+20</v>
      </c>
      <c r="D28" t="s">
        <v>134</v>
      </c>
      <c r="F28" s="6">
        <f>C28/1000000</f>
        <v>620000000000000</v>
      </c>
      <c r="H28" s="63" t="str">
        <f>B28</f>
        <v>S-hr</v>
      </c>
      <c r="I28" t="s">
        <v>543</v>
      </c>
      <c r="J28" t="s">
        <v>624</v>
      </c>
      <c r="K28" s="45">
        <f>FLOOR(9+LOG(F28),1)-9</f>
        <v>14</v>
      </c>
      <c r="L28" s="39">
        <f>F28/(10^K28)</f>
        <v>6.2</v>
      </c>
      <c r="M28" s="47" t="str">
        <f>FIXED(L28,7)&amp;"e"&amp;K28</f>
        <v>6.2000000e14</v>
      </c>
      <c r="N28" s="67" t="s">
        <v>544</v>
      </c>
      <c r="O28" s="63" t="s">
        <v>512</v>
      </c>
      <c r="P28" s="63" t="s">
        <v>513</v>
      </c>
      <c r="Q28" s="68" t="str">
        <f>CONCATENATE(N28,H28,O28,I28,O28,J28,O28,M28,P28)</f>
        <v>$events[] = array("S-hr", "World solar hour", "Solar power recieved by earth in 1 hour.", "6.2000000e14");</v>
      </c>
    </row>
    <row r="29" ht="12.75"/>
    <row r="30" spans="3:6" ht="12.75">
      <c r="C30" s="94"/>
      <c r="F30" s="6"/>
    </row>
    <row r="31" ht="12.75"/>
    <row r="32" ht="12.75">
      <c r="B32"/>
    </row>
    <row r="33" spans="2:16" ht="12.75">
      <c r="B33"/>
      <c r="M33" s="63"/>
      <c r="N33" s="63"/>
      <c r="O33"/>
      <c r="P33"/>
    </row>
    <row r="34" spans="2:16" ht="12.75">
      <c r="B34" t="s">
        <v>588</v>
      </c>
      <c r="C34" s="9">
        <v>503.5</v>
      </c>
      <c r="D34" t="s">
        <v>550</v>
      </c>
      <c r="F34" s="6">
        <f>C34*Units!J$18/1000000</f>
        <v>531220621794170</v>
      </c>
      <c r="J34" t="s">
        <v>587</v>
      </c>
      <c r="M34" s="63"/>
      <c r="N34" s="63"/>
      <c r="O34"/>
      <c r="P34"/>
    </row>
    <row r="35" spans="2:16" ht="12.75">
      <c r="B35" t="s">
        <v>595</v>
      </c>
      <c r="C35" s="79">
        <f>C36*G39^3</f>
        <v>460.3322894230478</v>
      </c>
      <c r="D35" t="s">
        <v>550</v>
      </c>
      <c r="M35" s="63"/>
      <c r="N35" s="63"/>
      <c r="O35"/>
      <c r="P35"/>
    </row>
    <row r="36" spans="2:16" ht="12.75">
      <c r="B36" t="s">
        <v>584</v>
      </c>
      <c r="C36" s="9">
        <v>411.5</v>
      </c>
      <c r="D36" t="s">
        <v>550</v>
      </c>
      <c r="F36" s="6">
        <f>C36*Units!J$18/1000000</f>
        <v>434155483353130</v>
      </c>
      <c r="H36" s="63" t="s">
        <v>585</v>
      </c>
      <c r="I36" t="s">
        <v>542</v>
      </c>
      <c r="J36" t="s">
        <v>586</v>
      </c>
      <c r="M36" s="63"/>
      <c r="N36" s="63"/>
      <c r="O36"/>
      <c r="P36"/>
    </row>
    <row r="37" spans="2:16" ht="12.75">
      <c r="B37" s="63" t="s">
        <v>590</v>
      </c>
      <c r="C37" s="78">
        <v>110.6</v>
      </c>
      <c r="D37" t="s">
        <v>550</v>
      </c>
      <c r="F37" s="6">
        <f>C37*Units!J$18/1000000</f>
        <v>116689177299772</v>
      </c>
      <c r="M37" s="63"/>
      <c r="N37" s="63"/>
      <c r="O37"/>
      <c r="P37"/>
    </row>
    <row r="38" spans="2:16" ht="12.75">
      <c r="B38" s="63" t="s">
        <v>589</v>
      </c>
      <c r="C38" s="78">
        <v>98</v>
      </c>
      <c r="D38" t="s">
        <v>550</v>
      </c>
      <c r="F38" s="6">
        <f>C38*Units!J$18/1000000</f>
        <v>103395473556760</v>
      </c>
      <c r="M38" s="63"/>
      <c r="N38" s="63"/>
      <c r="O38"/>
      <c r="P38"/>
    </row>
    <row r="39" spans="2:16" ht="12.75">
      <c r="B39" s="63" t="s">
        <v>592</v>
      </c>
      <c r="C39" s="9">
        <v>10224.4</v>
      </c>
      <c r="D39" t="s">
        <v>593</v>
      </c>
      <c r="F39" s="6">
        <f>C39*1000000*Units!J$15/1000000</f>
        <v>428075179200000.06</v>
      </c>
      <c r="G39">
        <f>(F39/F40)^0.5</f>
        <v>1.0380872727102088</v>
      </c>
      <c r="J39" t="s">
        <v>594</v>
      </c>
      <c r="M39" s="63"/>
      <c r="N39" s="63"/>
      <c r="O39"/>
      <c r="P39"/>
    </row>
    <row r="40" spans="2:16" ht="12.75">
      <c r="B40" s="63" t="s">
        <v>591</v>
      </c>
      <c r="C40" s="9">
        <v>9487.9</v>
      </c>
      <c r="D40" t="s">
        <v>593</v>
      </c>
      <c r="F40" s="6">
        <f>C40*1000000*Units!J$15/1000000</f>
        <v>397239397200000</v>
      </c>
      <c r="M40" s="63"/>
      <c r="N40" s="63"/>
      <c r="O40"/>
      <c r="P40"/>
    </row>
    <row r="41" spans="13:16" ht="12.75">
      <c r="M41" s="63"/>
      <c r="N41" s="63"/>
      <c r="O41"/>
      <c r="P41"/>
    </row>
    <row r="42" spans="13:16" ht="12.75">
      <c r="M42" s="63"/>
      <c r="N42" s="63"/>
      <c r="O42"/>
      <c r="P42"/>
    </row>
    <row r="43" spans="13:16" ht="12.75">
      <c r="M43" s="63"/>
      <c r="N43" s="63"/>
      <c r="O43"/>
      <c r="P43"/>
    </row>
    <row r="44" spans="13:16" ht="12.75">
      <c r="M44" s="63"/>
      <c r="N44" s="63"/>
      <c r="O44"/>
      <c r="P44"/>
    </row>
    <row r="45" spans="13:16" ht="12.75">
      <c r="M45" s="63"/>
      <c r="N45" s="63"/>
      <c r="O45"/>
      <c r="P45"/>
    </row>
    <row r="46" spans="13:16" ht="12.75">
      <c r="M46" s="63"/>
      <c r="N46" s="63"/>
      <c r="O46"/>
      <c r="P46"/>
    </row>
    <row r="47" spans="13:16" ht="12.75">
      <c r="M47" s="63"/>
      <c r="N47" s="63"/>
      <c r="O47"/>
      <c r="P47"/>
    </row>
    <row r="48" spans="13:16" ht="12.75">
      <c r="M48" s="63"/>
      <c r="N48" s="63"/>
      <c r="O48"/>
      <c r="P48"/>
    </row>
    <row r="49" spans="13:16" ht="12.75">
      <c r="M49" s="63"/>
      <c r="N49" s="63"/>
      <c r="O49"/>
      <c r="P49"/>
    </row>
    <row r="50" spans="13:16" ht="12.75">
      <c r="M50" s="63"/>
      <c r="N50" s="63"/>
      <c r="O50"/>
      <c r="P50"/>
    </row>
    <row r="51" spans="13:16" ht="12.75">
      <c r="M51" s="63"/>
      <c r="N51" s="63"/>
      <c r="O51"/>
      <c r="P51"/>
    </row>
    <row r="52" spans="13:16" ht="12.75">
      <c r="M52" s="63"/>
      <c r="N52" s="63"/>
      <c r="O52"/>
      <c r="P52"/>
    </row>
    <row r="53" spans="13:16" ht="12.75">
      <c r="M53" s="63"/>
      <c r="N53" s="63"/>
      <c r="O53"/>
      <c r="P53"/>
    </row>
    <row r="54" spans="13:16" ht="12.75">
      <c r="M54" s="63"/>
      <c r="N54" s="63"/>
      <c r="O54"/>
      <c r="P54"/>
    </row>
    <row r="55" spans="13:16" ht="12.75">
      <c r="M55" s="63"/>
      <c r="N55" s="63"/>
      <c r="O55"/>
      <c r="P55"/>
    </row>
  </sheetData>
  <hyperlinks>
    <hyperlink ref="E3" r:id="rId1" display="International Energy Outlook 2005"/>
  </hyperlinks>
  <printOptions/>
  <pageMargins left="0.75" right="0.75" top="1" bottom="1" header="0.5" footer="0.5"/>
  <pageSetup orientation="portrait" paperSize="9"/>
  <legacyDrawing r:id="rId3"/>
</worksheet>
</file>

<file path=xl/worksheets/sheet6.xml><?xml version="1.0" encoding="utf-8"?>
<worksheet xmlns="http://schemas.openxmlformats.org/spreadsheetml/2006/main" xmlns:r="http://schemas.openxmlformats.org/officeDocument/2006/relationships">
  <dimension ref="C2:U34"/>
  <sheetViews>
    <sheetView workbookViewId="0" topLeftCell="A20">
      <selection activeCell="H65" sqref="H65"/>
    </sheetView>
  </sheetViews>
  <sheetFormatPr defaultColWidth="9.140625" defaultRowHeight="12.75"/>
  <cols>
    <col min="4" max="4" width="8.140625" style="0" customWidth="1"/>
    <col min="5" max="5" width="7.57421875" style="0" customWidth="1"/>
    <col min="6" max="6" width="7.7109375" style="0" customWidth="1"/>
    <col min="9" max="9" width="11.28125" style="0" customWidth="1"/>
    <col min="12" max="12" width="11.421875" style="0" customWidth="1"/>
    <col min="13" max="13" width="9.8515625" style="0" customWidth="1"/>
    <col min="17" max="17" width="8.421875" style="0" customWidth="1"/>
    <col min="18" max="18" width="8.00390625" style="0" customWidth="1"/>
    <col min="19" max="19" width="8.421875" style="0" customWidth="1"/>
    <col min="20" max="20" width="7.8515625" style="0" customWidth="1"/>
  </cols>
  <sheetData>
    <row r="2" ht="12.75">
      <c r="Q2" t="s">
        <v>410</v>
      </c>
    </row>
    <row r="3" spans="7:13" ht="12.75">
      <c r="G3" t="s">
        <v>214</v>
      </c>
      <c r="H3" t="s">
        <v>214</v>
      </c>
      <c r="I3" t="s">
        <v>214</v>
      </c>
      <c r="J3" t="s">
        <v>214</v>
      </c>
      <c r="K3" t="s">
        <v>209</v>
      </c>
      <c r="L3" t="s">
        <v>209</v>
      </c>
      <c r="M3" t="s">
        <v>209</v>
      </c>
    </row>
    <row r="4" spans="3:21" s="38" customFormat="1" ht="48.75">
      <c r="C4" s="38" t="s">
        <v>384</v>
      </c>
      <c r="D4" s="41" t="s">
        <v>411</v>
      </c>
      <c r="E4" s="41" t="s">
        <v>412</v>
      </c>
      <c r="F4" s="41" t="s">
        <v>413</v>
      </c>
      <c r="G4" s="41" t="s">
        <v>414</v>
      </c>
      <c r="H4" s="41" t="s">
        <v>415</v>
      </c>
      <c r="I4" s="41" t="s">
        <v>416</v>
      </c>
      <c r="J4" s="41" t="s">
        <v>417</v>
      </c>
      <c r="K4" s="41" t="s">
        <v>418</v>
      </c>
      <c r="L4" s="41" t="s">
        <v>419</v>
      </c>
      <c r="M4" s="41" t="s">
        <v>420</v>
      </c>
      <c r="P4" s="41" t="s">
        <v>411</v>
      </c>
      <c r="R4" s="38" t="s">
        <v>406</v>
      </c>
      <c r="S4" s="38" t="s">
        <v>407</v>
      </c>
      <c r="T4" s="38" t="s">
        <v>408</v>
      </c>
      <c r="U4" s="38" t="s">
        <v>409</v>
      </c>
    </row>
    <row r="5" spans="3:21" ht="12.75">
      <c r="C5" t="s">
        <v>385</v>
      </c>
      <c r="D5">
        <v>54</v>
      </c>
      <c r="F5">
        <v>11.6</v>
      </c>
      <c r="G5">
        <v>4</v>
      </c>
      <c r="H5">
        <v>3.7</v>
      </c>
      <c r="I5">
        <v>0.93</v>
      </c>
      <c r="J5">
        <v>3.9</v>
      </c>
      <c r="K5">
        <v>42.9</v>
      </c>
      <c r="L5">
        <v>10.8</v>
      </c>
      <c r="M5">
        <v>45.2</v>
      </c>
      <c r="P5">
        <v>54</v>
      </c>
      <c r="Q5" s="40"/>
      <c r="R5" s="40">
        <f>G5*(Units!$J$7)/(Units!$J$45)</f>
        <v>26.54440666086682</v>
      </c>
      <c r="S5" s="40">
        <f>(U5/T5)*R5</f>
        <v>48.99014366547193</v>
      </c>
      <c r="T5" s="40">
        <f>I5*(1000000*Units!$J$6)/(1000*Units!$J$45)</f>
        <v>24.49078715228998</v>
      </c>
      <c r="U5" s="40">
        <f aca="true" t="shared" si="0" ref="U5:U21">M5</f>
        <v>45.2</v>
      </c>
    </row>
    <row r="6" spans="3:21" ht="12.75">
      <c r="C6" t="s">
        <v>386</v>
      </c>
      <c r="D6">
        <v>51</v>
      </c>
      <c r="F6">
        <v>12.3</v>
      </c>
      <c r="G6">
        <v>3.8</v>
      </c>
      <c r="H6">
        <v>3.5</v>
      </c>
      <c r="I6">
        <v>0.88</v>
      </c>
      <c r="J6">
        <v>3.7</v>
      </c>
      <c r="K6">
        <v>43.3</v>
      </c>
      <c r="L6">
        <v>10.8</v>
      </c>
      <c r="M6">
        <v>45.6</v>
      </c>
      <c r="P6">
        <v>51</v>
      </c>
      <c r="Q6" s="40"/>
      <c r="R6" s="40">
        <f>G6*(Units!$J$7)/(Units!$J$45)</f>
        <v>25.217186327823477</v>
      </c>
      <c r="S6" s="40">
        <f aca="true" t="shared" si="1" ref="S6:S20">(U6/T6)*R6</f>
        <v>49.620256233333336</v>
      </c>
      <c r="T6" s="40">
        <f>I6*(1000000*Units!$J$6)/(1000*Units!$J$45)</f>
        <v>23.174078165607725</v>
      </c>
      <c r="U6" s="40">
        <f t="shared" si="0"/>
        <v>45.6</v>
      </c>
    </row>
    <row r="7" spans="3:21" ht="12.75">
      <c r="C7" t="s">
        <v>387</v>
      </c>
      <c r="D7">
        <v>58</v>
      </c>
      <c r="F7">
        <v>10.8</v>
      </c>
      <c r="G7">
        <v>4.3</v>
      </c>
      <c r="H7">
        <v>3.9</v>
      </c>
      <c r="I7">
        <v>0.99</v>
      </c>
      <c r="J7">
        <v>4.1</v>
      </c>
      <c r="K7">
        <v>42.5</v>
      </c>
      <c r="L7">
        <v>10.9</v>
      </c>
      <c r="M7">
        <v>44.8</v>
      </c>
      <c r="P7">
        <v>58</v>
      </c>
      <c r="Q7" s="40"/>
      <c r="R7" s="40">
        <f>G7*(Units!$J$7)/(Units!$J$45)</f>
        <v>28.535237160431826</v>
      </c>
      <c r="S7" s="40">
        <f t="shared" si="1"/>
        <v>49.03481153580247</v>
      </c>
      <c r="T7" s="40">
        <f>I7*(1000000*Units!$J$6)/(1000*Units!$J$45)</f>
        <v>26.07083793630869</v>
      </c>
      <c r="U7" s="40">
        <f t="shared" si="0"/>
        <v>44.8</v>
      </c>
    </row>
    <row r="8" spans="3:21" ht="12.75">
      <c r="C8" t="s">
        <v>388</v>
      </c>
      <c r="D8">
        <v>63</v>
      </c>
      <c r="E8">
        <v>93</v>
      </c>
      <c r="F8">
        <v>10</v>
      </c>
      <c r="G8">
        <v>4.6</v>
      </c>
      <c r="H8">
        <v>4.2</v>
      </c>
      <c r="I8">
        <v>1.06</v>
      </c>
      <c r="J8">
        <v>4.4</v>
      </c>
      <c r="K8">
        <v>42.1</v>
      </c>
      <c r="L8">
        <v>10.7</v>
      </c>
      <c r="M8">
        <v>44.4</v>
      </c>
      <c r="P8">
        <v>63</v>
      </c>
      <c r="Q8" s="40"/>
      <c r="R8" s="40">
        <f>G8*(Units!$J$7)/(Units!$J$45)</f>
        <v>30.52606765999684</v>
      </c>
      <c r="S8" s="40">
        <f t="shared" si="1"/>
        <v>48.554353065408804</v>
      </c>
      <c r="T8" s="40">
        <f>I8*(1000000*Units!$J$6)/(1000*Units!$J$45)</f>
        <v>27.91423051766385</v>
      </c>
      <c r="U8" s="40">
        <f t="shared" si="0"/>
        <v>44.4</v>
      </c>
    </row>
    <row r="9" spans="3:21" ht="12.75">
      <c r="C9" t="s">
        <v>389</v>
      </c>
      <c r="D9">
        <v>71</v>
      </c>
      <c r="E9">
        <v>68</v>
      </c>
      <c r="F9">
        <v>8.9</v>
      </c>
      <c r="G9">
        <v>5.2</v>
      </c>
      <c r="H9">
        <v>4.7</v>
      </c>
      <c r="I9">
        <v>1.19</v>
      </c>
      <c r="J9">
        <v>5</v>
      </c>
      <c r="K9">
        <v>41.7</v>
      </c>
      <c r="L9">
        <v>10.6</v>
      </c>
      <c r="M9">
        <v>44</v>
      </c>
      <c r="P9">
        <v>71</v>
      </c>
      <c r="Q9" s="40"/>
      <c r="R9" s="40">
        <f>G9*(Units!$J$7)/(Units!$J$45)</f>
        <v>34.50772865912686</v>
      </c>
      <c r="S9" s="40">
        <f t="shared" si="1"/>
        <v>48.4509496993464</v>
      </c>
      <c r="T9" s="40">
        <f>I9*(1000000*Units!$J$6)/(1000*Units!$J$45)</f>
        <v>31.337673883037716</v>
      </c>
      <c r="U9" s="40">
        <f t="shared" si="0"/>
        <v>44</v>
      </c>
    </row>
    <row r="10" spans="3:21" ht="12.75">
      <c r="C10" t="s">
        <v>390</v>
      </c>
      <c r="D10">
        <v>74</v>
      </c>
      <c r="E10">
        <v>60</v>
      </c>
      <c r="F10">
        <v>8.5</v>
      </c>
      <c r="G10">
        <v>5.3</v>
      </c>
      <c r="H10">
        <v>4.9</v>
      </c>
      <c r="I10">
        <v>1.24</v>
      </c>
      <c r="J10">
        <v>5.2</v>
      </c>
      <c r="K10">
        <v>41.7</v>
      </c>
      <c r="L10">
        <v>10.5</v>
      </c>
      <c r="M10">
        <v>44</v>
      </c>
      <c r="P10">
        <v>74</v>
      </c>
      <c r="Q10" s="40"/>
      <c r="R10" s="40">
        <f>G10*(Units!$J$7)/(Units!$J$45)</f>
        <v>35.17133882564853</v>
      </c>
      <c r="S10" s="40">
        <f t="shared" si="1"/>
        <v>47.39146087992832</v>
      </c>
      <c r="T10" s="40">
        <f>I10*(1000000*Units!$J$6)/(1000*Units!$J$45)</f>
        <v>32.654382869719974</v>
      </c>
      <c r="U10" s="40">
        <f t="shared" si="0"/>
        <v>44</v>
      </c>
    </row>
    <row r="11" spans="3:21" ht="12.75">
      <c r="C11" t="s">
        <v>391</v>
      </c>
      <c r="D11">
        <v>76</v>
      </c>
      <c r="E11">
        <v>54</v>
      </c>
      <c r="F11">
        <v>8.3</v>
      </c>
      <c r="G11">
        <v>5.4</v>
      </c>
      <c r="H11">
        <v>5</v>
      </c>
      <c r="I11">
        <v>1.26</v>
      </c>
      <c r="J11">
        <v>5.3</v>
      </c>
      <c r="K11">
        <v>41.3</v>
      </c>
      <c r="L11">
        <v>10.4</v>
      </c>
      <c r="M11">
        <v>43.5</v>
      </c>
      <c r="P11">
        <v>76</v>
      </c>
      <c r="Q11" s="40"/>
      <c r="R11" s="40">
        <f>G11*(Units!$J$7)/(Units!$J$45)</f>
        <v>35.834948992170204</v>
      </c>
      <c r="S11" s="40">
        <f t="shared" si="1"/>
        <v>46.979209749999995</v>
      </c>
      <c r="T11" s="40">
        <f>I11*(1000000*Units!$J$6)/(1000*Units!$J$45)</f>
        <v>33.18106646439288</v>
      </c>
      <c r="U11" s="40">
        <f t="shared" si="0"/>
        <v>43.5</v>
      </c>
    </row>
    <row r="12" spans="3:21" ht="12.75">
      <c r="C12" t="s">
        <v>392</v>
      </c>
      <c r="D12">
        <v>74</v>
      </c>
      <c r="E12">
        <v>60</v>
      </c>
      <c r="F12">
        <v>8.5</v>
      </c>
      <c r="G12">
        <v>5.3</v>
      </c>
      <c r="H12">
        <v>4.1</v>
      </c>
      <c r="I12">
        <v>1.24</v>
      </c>
      <c r="J12">
        <v>5.2</v>
      </c>
      <c r="K12">
        <v>41.7</v>
      </c>
      <c r="L12">
        <v>10.5</v>
      </c>
      <c r="M12">
        <v>44</v>
      </c>
      <c r="P12">
        <v>74</v>
      </c>
      <c r="Q12" s="40"/>
      <c r="R12" s="40">
        <f>G12*(Units!$J$7)/(Units!$J$45)</f>
        <v>35.17133882564853</v>
      </c>
      <c r="S12" s="40">
        <f t="shared" si="1"/>
        <v>47.39146087992832</v>
      </c>
      <c r="T12" s="40">
        <f>I12*(1000000*Units!$J$6)/(1000*Units!$J$45)</f>
        <v>32.654382869719974</v>
      </c>
      <c r="U12" s="40">
        <f t="shared" si="0"/>
        <v>44</v>
      </c>
    </row>
    <row r="13" spans="3:21" ht="12.75">
      <c r="C13" t="s">
        <v>393</v>
      </c>
      <c r="D13">
        <v>81</v>
      </c>
      <c r="E13">
        <v>43</v>
      </c>
      <c r="F13">
        <v>7.8</v>
      </c>
      <c r="G13">
        <v>5.7</v>
      </c>
      <c r="H13">
        <v>5.3</v>
      </c>
      <c r="I13">
        <v>1.33</v>
      </c>
      <c r="J13">
        <v>5.6</v>
      </c>
      <c r="K13">
        <v>40.9</v>
      </c>
      <c r="L13">
        <v>10.3</v>
      </c>
      <c r="M13">
        <v>43.1</v>
      </c>
      <c r="P13">
        <v>81</v>
      </c>
      <c r="Q13" s="40"/>
      <c r="R13" s="40">
        <f>G13*(Units!$J$7)/(Units!$J$45)</f>
        <v>37.82577949173522</v>
      </c>
      <c r="S13" s="40">
        <f t="shared" si="1"/>
        <v>46.54721701666667</v>
      </c>
      <c r="T13" s="40">
        <f>I13*(1000000*Units!$J$6)/(1000*Units!$J$45)</f>
        <v>35.02445904574804</v>
      </c>
      <c r="U13" s="40">
        <f t="shared" si="0"/>
        <v>43.1</v>
      </c>
    </row>
    <row r="14" spans="3:21" ht="12.75">
      <c r="C14" t="s">
        <v>394</v>
      </c>
      <c r="D14">
        <v>82</v>
      </c>
      <c r="E14">
        <v>41</v>
      </c>
      <c r="F14">
        <v>7.7</v>
      </c>
      <c r="G14">
        <v>5.9</v>
      </c>
      <c r="H14">
        <v>5.4</v>
      </c>
      <c r="I14">
        <v>1.36</v>
      </c>
      <c r="J14">
        <v>5.7</v>
      </c>
      <c r="K14">
        <v>41.3</v>
      </c>
      <c r="L14">
        <v>10.4</v>
      </c>
      <c r="M14">
        <v>43.5</v>
      </c>
      <c r="P14">
        <v>82</v>
      </c>
      <c r="Q14" s="40"/>
      <c r="R14" s="40">
        <f>G14*(Units!$J$7)/(Units!$J$45)</f>
        <v>39.15299982477856</v>
      </c>
      <c r="S14" s="40">
        <f t="shared" si="1"/>
        <v>47.55493535968137</v>
      </c>
      <c r="T14" s="40">
        <f>I14*(1000000*Units!$J$6)/(1000*Units!$J$45)</f>
        <v>35.81448443775739</v>
      </c>
      <c r="U14" s="40">
        <f t="shared" si="0"/>
        <v>43.5</v>
      </c>
    </row>
    <row r="15" spans="3:21" ht="12.75">
      <c r="C15" t="s">
        <v>395</v>
      </c>
      <c r="D15">
        <v>86</v>
      </c>
      <c r="E15">
        <v>33</v>
      </c>
      <c r="F15">
        <v>7.3</v>
      </c>
      <c r="G15">
        <v>6</v>
      </c>
      <c r="H15">
        <v>5.5</v>
      </c>
      <c r="I15">
        <v>1.39</v>
      </c>
      <c r="J15">
        <v>5.8</v>
      </c>
      <c r="K15">
        <v>40.5</v>
      </c>
      <c r="L15">
        <v>10.2</v>
      </c>
      <c r="M15">
        <v>42.7</v>
      </c>
      <c r="P15">
        <v>86</v>
      </c>
      <c r="Q15" s="40"/>
      <c r="R15" s="40">
        <f>G15*(Units!$J$7)/(Units!$J$45)</f>
        <v>39.816609991300226</v>
      </c>
      <c r="S15" s="40">
        <f t="shared" si="1"/>
        <v>46.44698848681056</v>
      </c>
      <c r="T15" s="40">
        <f>I15*(1000000*Units!$J$6)/(1000*Units!$J$45)</f>
        <v>36.60450982976674</v>
      </c>
      <c r="U15" s="40">
        <f t="shared" si="0"/>
        <v>42.7</v>
      </c>
    </row>
    <row r="16" spans="3:21" ht="12.75">
      <c r="C16" t="s">
        <v>396</v>
      </c>
      <c r="D16">
        <v>83</v>
      </c>
      <c r="E16">
        <v>39</v>
      </c>
      <c r="F16">
        <v>7.6</v>
      </c>
      <c r="G16">
        <v>5.8</v>
      </c>
      <c r="H16">
        <v>5.3</v>
      </c>
      <c r="I16">
        <v>1.35</v>
      </c>
      <c r="J16">
        <v>5.6</v>
      </c>
      <c r="K16">
        <v>40.5</v>
      </c>
      <c r="L16">
        <v>10.2</v>
      </c>
      <c r="M16">
        <v>42.7</v>
      </c>
      <c r="P16">
        <v>83</v>
      </c>
      <c r="Q16" s="40"/>
      <c r="R16" s="40">
        <f>G16*(Units!$J$7)/(Units!$J$45)</f>
        <v>38.48938965825688</v>
      </c>
      <c r="S16" s="40">
        <f t="shared" si="1"/>
        <v>46.2290890346502</v>
      </c>
      <c r="T16" s="40">
        <f>I16*(1000000*Units!$J$6)/(1000*Units!$J$45)</f>
        <v>35.55114264042094</v>
      </c>
      <c r="U16" s="40">
        <f t="shared" si="0"/>
        <v>42.7</v>
      </c>
    </row>
    <row r="17" spans="3:21" ht="12.75">
      <c r="C17" t="s">
        <v>397</v>
      </c>
      <c r="D17">
        <v>84</v>
      </c>
      <c r="E17">
        <v>36</v>
      </c>
      <c r="F17">
        <v>7.5</v>
      </c>
      <c r="G17">
        <v>5.9</v>
      </c>
      <c r="H17">
        <v>5.4</v>
      </c>
      <c r="I17">
        <v>1.36</v>
      </c>
      <c r="J17">
        <v>5.7</v>
      </c>
      <c r="K17">
        <v>40.5</v>
      </c>
      <c r="L17">
        <v>10.2</v>
      </c>
      <c r="M17">
        <v>42.7</v>
      </c>
      <c r="P17">
        <v>84</v>
      </c>
      <c r="Q17" s="40"/>
      <c r="R17" s="40">
        <f>G17*(Units!$J$7)/(Units!$J$45)</f>
        <v>39.15299982477856</v>
      </c>
      <c r="S17" s="40">
        <f t="shared" si="1"/>
        <v>46.68036183582517</v>
      </c>
      <c r="T17" s="40">
        <f>I17*(1000000*Units!$J$6)/(1000*Units!$J$45)</f>
        <v>35.81448443775739</v>
      </c>
      <c r="U17" s="40">
        <f t="shared" si="0"/>
        <v>42.7</v>
      </c>
    </row>
    <row r="18" spans="3:21" ht="12.75">
      <c r="C18" t="s">
        <v>398</v>
      </c>
      <c r="D18">
        <v>88</v>
      </c>
      <c r="E18">
        <v>29</v>
      </c>
      <c r="F18">
        <v>7.1</v>
      </c>
      <c r="G18">
        <v>6.1</v>
      </c>
      <c r="H18">
        <v>5.6</v>
      </c>
      <c r="I18">
        <v>1.41</v>
      </c>
      <c r="J18">
        <v>5.9</v>
      </c>
      <c r="K18">
        <v>40.1</v>
      </c>
      <c r="L18">
        <v>10.1</v>
      </c>
      <c r="M18">
        <v>42.3</v>
      </c>
      <c r="P18">
        <v>88</v>
      </c>
      <c r="Q18" s="40"/>
      <c r="R18" s="40">
        <f>G18*(Units!$J$7)/(Units!$J$45)</f>
        <v>40.48022015782189</v>
      </c>
      <c r="S18" s="40">
        <f t="shared" si="1"/>
        <v>46.115224283333326</v>
      </c>
      <c r="T18" s="40">
        <f>I18*(1000000*Units!$J$6)/(1000*Units!$J$45)</f>
        <v>37.131193424439644</v>
      </c>
      <c r="U18" s="40">
        <f t="shared" si="0"/>
        <v>42.3</v>
      </c>
    </row>
    <row r="19" spans="3:21" ht="12.75">
      <c r="C19" t="s">
        <v>400</v>
      </c>
      <c r="D19">
        <v>94</v>
      </c>
      <c r="E19">
        <v>17</v>
      </c>
      <c r="F19">
        <v>6.7</v>
      </c>
      <c r="G19">
        <v>6.3</v>
      </c>
      <c r="H19">
        <v>5.8</v>
      </c>
      <c r="I19">
        <v>1.46</v>
      </c>
      <c r="J19">
        <v>6.1</v>
      </c>
      <c r="K19">
        <v>38.9</v>
      </c>
      <c r="L19">
        <v>9.8</v>
      </c>
      <c r="M19">
        <v>41</v>
      </c>
      <c r="P19">
        <v>94</v>
      </c>
      <c r="Q19" s="40"/>
      <c r="R19" s="40">
        <f>G19*(Units!$J$7)/(Units!$J$45)</f>
        <v>41.80744049086524</v>
      </c>
      <c r="S19" s="40">
        <f t="shared" si="1"/>
        <v>44.582537736301376</v>
      </c>
      <c r="T19" s="40">
        <f>I19*(1000000*Units!$J$6)/(1000*Units!$J$45)</f>
        <v>38.4479024111219</v>
      </c>
      <c r="U19" s="40">
        <f t="shared" si="0"/>
        <v>41</v>
      </c>
    </row>
    <row r="20" spans="3:21" ht="12.75">
      <c r="C20" t="s">
        <v>401</v>
      </c>
      <c r="D20">
        <v>93</v>
      </c>
      <c r="E20">
        <v>21</v>
      </c>
      <c r="F20">
        <v>6.8</v>
      </c>
      <c r="G20">
        <v>6.2</v>
      </c>
      <c r="H20">
        <v>5.8</v>
      </c>
      <c r="I20">
        <v>1.46</v>
      </c>
      <c r="J20">
        <v>6.1</v>
      </c>
      <c r="K20">
        <v>39.3</v>
      </c>
      <c r="L20">
        <v>9.9</v>
      </c>
      <c r="M20">
        <v>41.4</v>
      </c>
      <c r="P20">
        <v>93</v>
      </c>
      <c r="Q20" s="40"/>
      <c r="R20" s="40">
        <f>G20*(Units!$J$7)/(Units!$J$45)</f>
        <v>41.14383032434357</v>
      </c>
      <c r="S20" s="40">
        <f t="shared" si="1"/>
        <v>44.30292600136987</v>
      </c>
      <c r="T20" s="40">
        <f>I20*(1000000*Units!$J$6)/(1000*Units!$J$45)</f>
        <v>38.4479024111219</v>
      </c>
      <c r="U20" s="40">
        <f t="shared" si="0"/>
        <v>41.4</v>
      </c>
    </row>
    <row r="21" spans="3:21" ht="12.75">
      <c r="C21" t="s">
        <v>403</v>
      </c>
      <c r="D21">
        <v>88</v>
      </c>
      <c r="E21">
        <v>29</v>
      </c>
      <c r="F21">
        <v>7.1</v>
      </c>
      <c r="G21">
        <v>6</v>
      </c>
      <c r="H21">
        <v>5.5</v>
      </c>
      <c r="I21">
        <v>1.39</v>
      </c>
      <c r="J21">
        <v>5.8</v>
      </c>
      <c r="K21">
        <v>39.3</v>
      </c>
      <c r="L21">
        <v>9.9</v>
      </c>
      <c r="M21">
        <v>41.4</v>
      </c>
      <c r="P21">
        <v>88</v>
      </c>
      <c r="Q21" s="40"/>
      <c r="R21" s="40">
        <f>G21*(Units!$J$7)/(Units!$J$45)</f>
        <v>39.816609991300226</v>
      </c>
      <c r="S21" s="40">
        <f>(U21/T21)*R21</f>
        <v>45.032911553956836</v>
      </c>
      <c r="T21" s="40">
        <f>I21*(1000000*Units!$J$6)/(1000*Units!$J$45)</f>
        <v>36.60450982976674</v>
      </c>
      <c r="U21" s="40">
        <f t="shared" si="0"/>
        <v>41.4</v>
      </c>
    </row>
    <row r="23" spans="3:13" ht="12.75">
      <c r="C23" t="s">
        <v>402</v>
      </c>
      <c r="D23">
        <v>96</v>
      </c>
      <c r="E23">
        <v>16</v>
      </c>
      <c r="F23">
        <v>6.6</v>
      </c>
      <c r="G23">
        <v>6.3</v>
      </c>
      <c r="H23">
        <v>5.8</v>
      </c>
      <c r="I23">
        <v>1.47</v>
      </c>
      <c r="J23">
        <v>6.1</v>
      </c>
      <c r="K23">
        <v>38.1</v>
      </c>
      <c r="L23">
        <v>9.6</v>
      </c>
      <c r="M23">
        <v>40.2</v>
      </c>
    </row>
    <row r="24" spans="3:21" ht="12.75">
      <c r="C24" t="s">
        <v>404</v>
      </c>
      <c r="D24">
        <v>105</v>
      </c>
      <c r="F24">
        <v>6</v>
      </c>
      <c r="G24">
        <v>6.8</v>
      </c>
      <c r="H24">
        <v>6.6</v>
      </c>
      <c r="I24">
        <v>1.67</v>
      </c>
      <c r="J24">
        <v>7</v>
      </c>
      <c r="K24">
        <v>39.7</v>
      </c>
      <c r="L24">
        <v>10</v>
      </c>
      <c r="M24">
        <v>41.9</v>
      </c>
      <c r="P24" s="25" t="s">
        <v>311</v>
      </c>
      <c r="R24" s="25">
        <v>-14.133070301291184</v>
      </c>
      <c r="S24" s="25">
        <v>451.8259148747828</v>
      </c>
      <c r="T24" s="25">
        <v>-13.372632266492502</v>
      </c>
      <c r="U24" s="25">
        <v>486.6976542853606</v>
      </c>
    </row>
    <row r="25" spans="3:21" ht="13.5" thickBot="1">
      <c r="C25" t="s">
        <v>405</v>
      </c>
      <c r="D25">
        <v>42</v>
      </c>
      <c r="F25">
        <v>8.8</v>
      </c>
      <c r="G25">
        <v>3.7</v>
      </c>
      <c r="H25">
        <v>3.3</v>
      </c>
      <c r="I25">
        <v>0.84</v>
      </c>
      <c r="J25">
        <v>3.5</v>
      </c>
      <c r="K25">
        <v>50</v>
      </c>
      <c r="L25">
        <v>12.6</v>
      </c>
      <c r="M25">
        <v>52.8</v>
      </c>
      <c r="P25" s="26" t="s">
        <v>321</v>
      </c>
      <c r="R25" s="26">
        <v>2.5283601926259713</v>
      </c>
      <c r="S25" s="26">
        <v>-7.977249614667844</v>
      </c>
      <c r="T25" s="26">
        <v>2.72291969842152</v>
      </c>
      <c r="U25" s="26">
        <v>-9.471492764975052</v>
      </c>
    </row>
    <row r="26" spans="3:21" ht="12.75">
      <c r="C26" t="s">
        <v>399</v>
      </c>
      <c r="F26">
        <v>7</v>
      </c>
      <c r="G26">
        <v>6</v>
      </c>
      <c r="H26">
        <v>5.7</v>
      </c>
      <c r="I26">
        <v>1.43</v>
      </c>
      <c r="J26">
        <v>6</v>
      </c>
      <c r="K26">
        <v>39.7</v>
      </c>
      <c r="L26">
        <v>10</v>
      </c>
      <c r="M26">
        <v>41.9</v>
      </c>
      <c r="P26" s="25" t="s">
        <v>305</v>
      </c>
      <c r="R26" s="25">
        <v>1.5516083405716437</v>
      </c>
      <c r="S26" s="25">
        <v>4.635566061183713</v>
      </c>
      <c r="T26" s="25">
        <v>1.3634863400992105</v>
      </c>
      <c r="U26" s="25">
        <v>4.050897138562538</v>
      </c>
    </row>
    <row r="28" ht="12.75">
      <c r="P28" s="3" t="s">
        <v>421</v>
      </c>
    </row>
    <row r="29" spans="3:16" ht="12.75">
      <c r="C29" s="4" t="s">
        <v>427</v>
      </c>
      <c r="P29" t="s">
        <v>422</v>
      </c>
    </row>
    <row r="30" spans="3:16" ht="12.75">
      <c r="C30" t="s">
        <v>428</v>
      </c>
      <c r="P30" t="s">
        <v>423</v>
      </c>
    </row>
    <row r="31" ht="12.75">
      <c r="P31" t="s">
        <v>424</v>
      </c>
    </row>
    <row r="32" ht="12.75">
      <c r="P32" t="s">
        <v>425</v>
      </c>
    </row>
    <row r="34" ht="12.75">
      <c r="P34" t="s">
        <v>426</v>
      </c>
    </row>
  </sheetData>
  <hyperlinks>
    <hyperlink ref="C29" r:id="rId1" display="http://www.gulfoilandgas.com/Webpro1/Oil/approxEnergyContent.asp"/>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Steven</dc:creator>
  <cp:keywords/>
  <dc:description/>
  <cp:lastModifiedBy>Steven</cp:lastModifiedBy>
  <dcterms:created xsi:type="dcterms:W3CDTF">2006-03-12T00:04:18Z</dcterms:created>
  <dcterms:modified xsi:type="dcterms:W3CDTF">2006-05-20T05:10:58Z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