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\Desktop\ZFacts\National Debt\"/>
    </mc:Choice>
  </mc:AlternateContent>
  <xr:revisionPtr revIDLastSave="0" documentId="13_ncr:1_{107A1A6E-454D-4893-9208-87E4B5511743}" xr6:coauthVersionLast="43" xr6:coauthVersionMax="43" xr10:uidLastSave="{00000000-0000-0000-0000-000000000000}"/>
  <bookViews>
    <workbookView xWindow="945" yWindow="-120" windowWidth="27975" windowHeight="16440" activeTab="2" xr2:uid="{00000000-000D-0000-FFFF-FFFF00000000}"/>
  </bookViews>
  <sheets>
    <sheet name="FRED Data" sheetId="4" r:id="rId1"/>
    <sheet name="Treas Data" sheetId="11" r:id="rId2"/>
    <sheet name="Debt-GDP-Graph" sheetId="1" r:id="rId3"/>
    <sheet name="OMB 2008" sheetId="3" r:id="rId4"/>
    <sheet name="Who Owns It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7" i="1" l="1"/>
  <c r="N128" i="1" s="1"/>
  <c r="N129" i="1" s="1"/>
  <c r="N130" i="1" s="1"/>
  <c r="N131" i="1" s="1"/>
  <c r="N132" i="1" s="1"/>
  <c r="N133" i="1" s="1"/>
  <c r="M126" i="1"/>
  <c r="L126" i="1" s="1"/>
  <c r="N124" i="1"/>
  <c r="N125" i="1" s="1"/>
  <c r="N126" i="1" s="1"/>
  <c r="N123" i="1"/>
  <c r="F133" i="1"/>
  <c r="F132" i="1"/>
  <c r="F130" i="1"/>
  <c r="F129" i="1"/>
  <c r="F131" i="1"/>
  <c r="F128" i="1" s="1"/>
  <c r="F126" i="1"/>
  <c r="F125" i="1"/>
  <c r="F124" i="1"/>
  <c r="F127" i="1"/>
  <c r="F123" i="1"/>
  <c r="M122" i="1"/>
  <c r="H133" i="1"/>
  <c r="I133" i="1" s="1"/>
  <c r="J133" i="1" s="1"/>
  <c r="H132" i="1"/>
  <c r="H131" i="1"/>
  <c r="H130" i="1"/>
  <c r="H129" i="1"/>
  <c r="I129" i="1" s="1"/>
  <c r="J129" i="1" s="1"/>
  <c r="H128" i="1"/>
  <c r="H127" i="1"/>
  <c r="H126" i="1"/>
  <c r="H125" i="1"/>
  <c r="I125" i="1" s="1"/>
  <c r="J125" i="1" s="1"/>
  <c r="H124" i="1"/>
  <c r="G123" i="1"/>
  <c r="C133" i="1"/>
  <c r="C132" i="1"/>
  <c r="B133" i="1"/>
  <c r="G133" i="1" s="1"/>
  <c r="B132" i="1"/>
  <c r="G132" i="1" s="1"/>
  <c r="B131" i="1"/>
  <c r="G131" i="1" s="1"/>
  <c r="B130" i="1"/>
  <c r="G130" i="1" s="1"/>
  <c r="B129" i="1"/>
  <c r="G129" i="1" s="1"/>
  <c r="B128" i="1"/>
  <c r="G128" i="1" s="1"/>
  <c r="B127" i="1"/>
  <c r="G127" i="1" s="1"/>
  <c r="B126" i="1"/>
  <c r="G126" i="1" s="1"/>
  <c r="B125" i="1"/>
  <c r="G125" i="1" s="1"/>
  <c r="B124" i="1"/>
  <c r="G124" i="1" s="1"/>
  <c r="B123" i="1"/>
  <c r="B122" i="1"/>
  <c r="C131" i="1"/>
  <c r="C130" i="1"/>
  <c r="C129" i="1"/>
  <c r="C128" i="1"/>
  <c r="C127" i="1"/>
  <c r="C126" i="1"/>
  <c r="C125" i="1"/>
  <c r="C124" i="1"/>
  <c r="C123" i="1"/>
  <c r="B128" i="11"/>
  <c r="B127" i="11"/>
  <c r="B126" i="11"/>
  <c r="B125" i="11"/>
  <c r="B124" i="11"/>
  <c r="B123" i="11"/>
  <c r="B122" i="11"/>
  <c r="H60" i="4"/>
  <c r="H61" i="4" s="1"/>
  <c r="H62" i="4" s="1"/>
  <c r="H59" i="4"/>
  <c r="G59" i="4"/>
  <c r="G60" i="4" s="1"/>
  <c r="H53" i="4"/>
  <c r="H54" i="4" s="1"/>
  <c r="H55" i="4" s="1"/>
  <c r="H56" i="4" s="1"/>
  <c r="H57" i="4" s="1"/>
  <c r="H58" i="4" s="1"/>
  <c r="H52" i="4"/>
  <c r="G53" i="4"/>
  <c r="G54" i="4" s="1"/>
  <c r="G55" i="4" s="1"/>
  <c r="G56" i="4" s="1"/>
  <c r="G57" i="4" s="1"/>
  <c r="G58" i="4" s="1"/>
  <c r="G52" i="4"/>
  <c r="G51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C122" i="1"/>
  <c r="D132" i="11"/>
  <c r="D131" i="11"/>
  <c r="D130" i="11"/>
  <c r="D121" i="11"/>
  <c r="E299" i="4"/>
  <c r="E297" i="4"/>
  <c r="E298" i="4" s="1"/>
  <c r="M127" i="1" l="1"/>
  <c r="I124" i="1"/>
  <c r="J124" i="1" s="1"/>
  <c r="I126" i="1"/>
  <c r="J126" i="1" s="1"/>
  <c r="I128" i="1"/>
  <c r="J128" i="1" s="1"/>
  <c r="I130" i="1"/>
  <c r="J130" i="1" s="1"/>
  <c r="I132" i="1"/>
  <c r="J132" i="1" s="1"/>
  <c r="I127" i="1"/>
  <c r="J127" i="1" s="1"/>
  <c r="I131" i="1"/>
  <c r="J131" i="1" s="1"/>
  <c r="G61" i="4"/>
  <c r="I60" i="4"/>
  <c r="I59" i="4"/>
  <c r="I53" i="4"/>
  <c r="I52" i="4"/>
  <c r="G302" i="4"/>
  <c r="G303" i="4" s="1"/>
  <c r="L127" i="1" l="1"/>
  <c r="M128" i="1"/>
  <c r="G62" i="4"/>
  <c r="I62" i="4" s="1"/>
  <c r="I61" i="4"/>
  <c r="H123" i="1"/>
  <c r="I123" i="1" s="1"/>
  <c r="J123" i="1" s="1"/>
  <c r="I54" i="4"/>
  <c r="B14" i="12"/>
  <c r="B15" i="12" s="1"/>
  <c r="A12" i="12" s="1"/>
  <c r="B13" i="12"/>
  <c r="A13" i="12" s="1"/>
  <c r="J112" i="1"/>
  <c r="J111" i="1"/>
  <c r="V111" i="1" s="1"/>
  <c r="J110" i="1"/>
  <c r="J109" i="1"/>
  <c r="J108" i="1"/>
  <c r="J107" i="1"/>
  <c r="V108" i="1" s="1"/>
  <c r="J106" i="1"/>
  <c r="J105" i="1"/>
  <c r="J104" i="1"/>
  <c r="V105" i="1" s="1"/>
  <c r="J103" i="1"/>
  <c r="V103" i="1" s="1"/>
  <c r="J102" i="1"/>
  <c r="J101" i="1"/>
  <c r="J100" i="1"/>
  <c r="J99" i="1"/>
  <c r="J98" i="1"/>
  <c r="J97" i="1"/>
  <c r="J96" i="1"/>
  <c r="J95" i="1"/>
  <c r="V95" i="1" s="1"/>
  <c r="J94" i="1"/>
  <c r="J93" i="1"/>
  <c r="J92" i="1"/>
  <c r="J91" i="1"/>
  <c r="V92" i="1" s="1"/>
  <c r="J90" i="1"/>
  <c r="J89" i="1"/>
  <c r="J88" i="1"/>
  <c r="V89" i="1" s="1"/>
  <c r="J87" i="1"/>
  <c r="V87" i="1" s="1"/>
  <c r="J86" i="1"/>
  <c r="J85" i="1"/>
  <c r="J84" i="1"/>
  <c r="J83" i="1"/>
  <c r="J82" i="1"/>
  <c r="J81" i="1"/>
  <c r="J80" i="1"/>
  <c r="V81" i="1" s="1"/>
  <c r="J79" i="1"/>
  <c r="V80" i="1" s="1"/>
  <c r="J78" i="1"/>
  <c r="V78" i="1" s="1"/>
  <c r="J77" i="1"/>
  <c r="J76" i="1"/>
  <c r="V77" i="1" s="1"/>
  <c r="J75" i="1"/>
  <c r="V76" i="1" s="1"/>
  <c r="J74" i="1"/>
  <c r="J73" i="1"/>
  <c r="J72" i="1"/>
  <c r="V73" i="1" s="1"/>
  <c r="J71" i="1"/>
  <c r="V72" i="1" s="1"/>
  <c r="J70" i="1"/>
  <c r="V70" i="1" s="1"/>
  <c r="J69" i="1"/>
  <c r="J68" i="1"/>
  <c r="V69" i="1" s="1"/>
  <c r="J67" i="1"/>
  <c r="V68" i="1" s="1"/>
  <c r="J66" i="1"/>
  <c r="J65" i="1"/>
  <c r="J64" i="1"/>
  <c r="V65" i="1" s="1"/>
  <c r="J63" i="1"/>
  <c r="V64" i="1" s="1"/>
  <c r="J62" i="1"/>
  <c r="V62" i="1" s="1"/>
  <c r="J61" i="1"/>
  <c r="J60" i="1"/>
  <c r="V61" i="1" s="1"/>
  <c r="J59" i="1"/>
  <c r="V60" i="1" s="1"/>
  <c r="J58" i="1"/>
  <c r="J57" i="1"/>
  <c r="J56" i="1"/>
  <c r="V57" i="1" s="1"/>
  <c r="J55" i="1"/>
  <c r="V56" i="1" s="1"/>
  <c r="J54" i="1"/>
  <c r="V54" i="1" s="1"/>
  <c r="J53" i="1"/>
  <c r="J52" i="1"/>
  <c r="V53" i="1" s="1"/>
  <c r="J51" i="1"/>
  <c r="J50" i="1"/>
  <c r="J49" i="1"/>
  <c r="J48" i="1"/>
  <c r="J47" i="1"/>
  <c r="J46" i="1"/>
  <c r="C281" i="4"/>
  <c r="W54" i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V112" i="1"/>
  <c r="V109" i="1"/>
  <c r="V104" i="1"/>
  <c r="V101" i="1"/>
  <c r="V97" i="1"/>
  <c r="V96" i="1"/>
  <c r="V93" i="1"/>
  <c r="V88" i="1"/>
  <c r="V85" i="1"/>
  <c r="V82" i="1"/>
  <c r="V79" i="1"/>
  <c r="V74" i="1"/>
  <c r="V66" i="1"/>
  <c r="V63" i="1"/>
  <c r="V58" i="1"/>
  <c r="M38" i="1"/>
  <c r="L39" i="1"/>
  <c r="K89" i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88" i="1"/>
  <c r="M129" i="1" l="1"/>
  <c r="L128" i="1"/>
  <c r="V84" i="1"/>
  <c r="V100" i="1"/>
  <c r="V91" i="1"/>
  <c r="V107" i="1"/>
  <c r="V55" i="1"/>
  <c r="V71" i="1"/>
  <c r="V83" i="1"/>
  <c r="V99" i="1"/>
  <c r="I55" i="4"/>
  <c r="A14" i="12"/>
  <c r="V59" i="1"/>
  <c r="V67" i="1"/>
  <c r="V75" i="1"/>
  <c r="V86" i="1"/>
  <c r="V90" i="1"/>
  <c r="V94" i="1"/>
  <c r="V98" i="1"/>
  <c r="V102" i="1"/>
  <c r="V106" i="1"/>
  <c r="V110" i="1"/>
  <c r="M130" i="1" l="1"/>
  <c r="L129" i="1"/>
  <c r="I56" i="4"/>
  <c r="M35" i="1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G12" i="4"/>
  <c r="H12" i="4" s="1"/>
  <c r="F382" i="4"/>
  <c r="F378" i="4"/>
  <c r="F374" i="4"/>
  <c r="F370" i="4"/>
  <c r="F366" i="4"/>
  <c r="F362" i="4"/>
  <c r="F358" i="4"/>
  <c r="F354" i="4"/>
  <c r="F350" i="4"/>
  <c r="F346" i="4"/>
  <c r="F342" i="4"/>
  <c r="F338" i="4"/>
  <c r="F334" i="4"/>
  <c r="F330" i="4"/>
  <c r="F326" i="4"/>
  <c r="F322" i="4"/>
  <c r="F318" i="4"/>
  <c r="F314" i="4"/>
  <c r="F310" i="4"/>
  <c r="F306" i="4"/>
  <c r="F302" i="4"/>
  <c r="F282" i="4"/>
  <c r="F278" i="4"/>
  <c r="F274" i="4"/>
  <c r="F270" i="4"/>
  <c r="F266" i="4"/>
  <c r="F262" i="4"/>
  <c r="F258" i="4"/>
  <c r="F254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2" i="11"/>
  <c r="M131" i="1" l="1"/>
  <c r="L130" i="1"/>
  <c r="F122" i="1"/>
  <c r="I57" i="4"/>
  <c r="I12" i="4"/>
  <c r="H83" i="1" s="1"/>
  <c r="G13" i="4"/>
  <c r="D87" i="1"/>
  <c r="D52" i="1"/>
  <c r="D51" i="1"/>
  <c r="D46" i="1"/>
  <c r="F121" i="1"/>
  <c r="F287" i="4"/>
  <c r="M132" i="1" l="1"/>
  <c r="L131" i="1"/>
  <c r="I58" i="4"/>
  <c r="H13" i="4"/>
  <c r="G14" i="4"/>
  <c r="I13" i="4"/>
  <c r="H84" i="1" s="1"/>
  <c r="I84" i="1" s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M34" i="1"/>
  <c r="M33" i="1"/>
  <c r="M87" i="1"/>
  <c r="M88" i="1" s="1"/>
  <c r="N88" i="1" s="1"/>
  <c r="L132" i="1" l="1"/>
  <c r="M133" i="1"/>
  <c r="L133" i="1" s="1"/>
  <c r="G15" i="4"/>
  <c r="H14" i="4"/>
  <c r="I14" i="4"/>
  <c r="H85" i="1" s="1"/>
  <c r="I85" i="1" s="1"/>
  <c r="M89" i="1"/>
  <c r="N87" i="1"/>
  <c r="F120" i="1"/>
  <c r="F119" i="1"/>
  <c r="F118" i="1"/>
  <c r="D118" i="1"/>
  <c r="D119" i="1" s="1"/>
  <c r="D120" i="1" s="1"/>
  <c r="D121" i="1" s="1"/>
  <c r="D122" i="1" s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G16" i="4" l="1"/>
  <c r="H15" i="4"/>
  <c r="I15" i="4"/>
  <c r="H86" i="1" s="1"/>
  <c r="I86" i="1" s="1"/>
  <c r="N89" i="1"/>
  <c r="M90" i="1"/>
  <c r="G17" i="4" l="1"/>
  <c r="H16" i="4"/>
  <c r="I16" i="4"/>
  <c r="H87" i="1" s="1"/>
  <c r="I87" i="1" s="1"/>
  <c r="L87" i="1" s="1"/>
  <c r="N90" i="1"/>
  <c r="M91" i="1"/>
  <c r="G18" i="4" l="1"/>
  <c r="H17" i="4"/>
  <c r="I17" i="4"/>
  <c r="H88" i="1" s="1"/>
  <c r="I88" i="1" s="1"/>
  <c r="L88" i="1" s="1"/>
  <c r="M92" i="1"/>
  <c r="N91" i="1"/>
  <c r="G19" i="4" l="1"/>
  <c r="H18" i="4"/>
  <c r="I18" i="4"/>
  <c r="H89" i="1" s="1"/>
  <c r="I89" i="1" s="1"/>
  <c r="L89" i="1" s="1"/>
  <c r="M93" i="1"/>
  <c r="N92" i="1"/>
  <c r="G20" i="4" l="1"/>
  <c r="H19" i="4"/>
  <c r="I19" i="4"/>
  <c r="H90" i="1" s="1"/>
  <c r="I90" i="1" s="1"/>
  <c r="L90" i="1" s="1"/>
  <c r="M94" i="1"/>
  <c r="N93" i="1"/>
  <c r="H20" i="4" l="1"/>
  <c r="G21" i="4"/>
  <c r="I20" i="4"/>
  <c r="H91" i="1" s="1"/>
  <c r="I91" i="1" s="1"/>
  <c r="L91" i="1" s="1"/>
  <c r="M95" i="1"/>
  <c r="N94" i="1"/>
  <c r="G22" i="4" l="1"/>
  <c r="H21" i="4"/>
  <c r="I21" i="4"/>
  <c r="H92" i="1" s="1"/>
  <c r="I92" i="1" s="1"/>
  <c r="L92" i="1" s="1"/>
  <c r="M96" i="1"/>
  <c r="N95" i="1"/>
  <c r="P95" i="1" s="1"/>
  <c r="H22" i="4" l="1"/>
  <c r="I22" i="4"/>
  <c r="H93" i="1" s="1"/>
  <c r="I93" i="1" s="1"/>
  <c r="L93" i="1" s="1"/>
  <c r="G23" i="4"/>
  <c r="M97" i="1"/>
  <c r="N96" i="1"/>
  <c r="H23" i="4" l="1"/>
  <c r="G24" i="4"/>
  <c r="I23" i="4"/>
  <c r="H94" i="1" s="1"/>
  <c r="I94" i="1" s="1"/>
  <c r="L94" i="1" s="1"/>
  <c r="M98" i="1"/>
  <c r="N97" i="1"/>
  <c r="H24" i="4" l="1"/>
  <c r="G25" i="4"/>
  <c r="I24" i="4"/>
  <c r="H95" i="1" s="1"/>
  <c r="I95" i="1" s="1"/>
  <c r="L95" i="1" s="1"/>
  <c r="N98" i="1"/>
  <c r="M99" i="1"/>
  <c r="N99" i="1" s="1"/>
  <c r="H25" i="4" l="1"/>
  <c r="G26" i="4"/>
  <c r="I25" i="4"/>
  <c r="H96" i="1" s="1"/>
  <c r="I96" i="1" s="1"/>
  <c r="L96" i="1" s="1"/>
  <c r="N100" i="1"/>
  <c r="M100" i="1" s="1"/>
  <c r="G27" i="4" l="1"/>
  <c r="H26" i="4"/>
  <c r="I26" i="4"/>
  <c r="H97" i="1" s="1"/>
  <c r="I97" i="1" s="1"/>
  <c r="L97" i="1" s="1"/>
  <c r="P99" i="1"/>
  <c r="R105" i="1" s="1"/>
  <c r="N101" i="1"/>
  <c r="H27" i="4" l="1"/>
  <c r="I27" i="4"/>
  <c r="H98" i="1" s="1"/>
  <c r="I98" i="1" s="1"/>
  <c r="L98" i="1" s="1"/>
  <c r="G28" i="4"/>
  <c r="Q105" i="1"/>
  <c r="M101" i="1"/>
  <c r="N102" i="1"/>
  <c r="I28" i="4" l="1"/>
  <c r="H99" i="1" s="1"/>
  <c r="I99" i="1" s="1"/>
  <c r="L99" i="1" s="1"/>
  <c r="H28" i="4"/>
  <c r="G29" i="4"/>
  <c r="M102" i="1"/>
  <c r="N103" i="1"/>
  <c r="I29" i="4" l="1"/>
  <c r="H100" i="1" s="1"/>
  <c r="I100" i="1" s="1"/>
  <c r="L100" i="1" s="1"/>
  <c r="H29" i="4"/>
  <c r="G30" i="4"/>
  <c r="N104" i="1"/>
  <c r="M103" i="1"/>
  <c r="I30" i="4" l="1"/>
  <c r="H101" i="1" s="1"/>
  <c r="I101" i="1" s="1"/>
  <c r="L101" i="1" s="1"/>
  <c r="H30" i="4"/>
  <c r="G31" i="4"/>
  <c r="N105" i="1"/>
  <c r="M104" i="1"/>
  <c r="G32" i="4" l="1"/>
  <c r="H31" i="4"/>
  <c r="I31" i="4"/>
  <c r="H102" i="1" s="1"/>
  <c r="I102" i="1" s="1"/>
  <c r="L102" i="1" s="1"/>
  <c r="N106" i="1"/>
  <c r="M105" i="1"/>
  <c r="G33" i="4" l="1"/>
  <c r="H32" i="4"/>
  <c r="I32" i="4"/>
  <c r="H103" i="1" s="1"/>
  <c r="I103" i="1" s="1"/>
  <c r="L103" i="1" s="1"/>
  <c r="N107" i="1"/>
  <c r="M106" i="1"/>
  <c r="I33" i="4" l="1"/>
  <c r="H104" i="1" s="1"/>
  <c r="I104" i="1" s="1"/>
  <c r="L104" i="1" s="1"/>
  <c r="H33" i="4"/>
  <c r="G34" i="4"/>
  <c r="P107" i="1"/>
  <c r="M107" i="1"/>
  <c r="I34" i="4" l="1"/>
  <c r="H105" i="1" s="1"/>
  <c r="I105" i="1" s="1"/>
  <c r="L105" i="1" s="1"/>
  <c r="H34" i="4"/>
  <c r="G35" i="4"/>
  <c r="R107" i="1"/>
  <c r="R108" i="1" s="1"/>
  <c r="Q107" i="1"/>
  <c r="Q108" i="1" s="1"/>
  <c r="M108" i="1"/>
  <c r="I35" i="4" l="1"/>
  <c r="H106" i="1" s="1"/>
  <c r="I106" i="1" s="1"/>
  <c r="L106" i="1" s="1"/>
  <c r="G36" i="4"/>
  <c r="H35" i="4"/>
  <c r="N108" i="1"/>
  <c r="M109" i="1"/>
  <c r="H36" i="4" l="1"/>
  <c r="G37" i="4"/>
  <c r="I36" i="4"/>
  <c r="H107" i="1" s="1"/>
  <c r="I107" i="1" s="1"/>
  <c r="L107" i="1" s="1"/>
  <c r="N109" i="1"/>
  <c r="M110" i="1"/>
  <c r="I37" i="4" l="1"/>
  <c r="H108" i="1" s="1"/>
  <c r="I108" i="1" s="1"/>
  <c r="L108" i="1" s="1"/>
  <c r="G38" i="4"/>
  <c r="H37" i="4"/>
  <c r="M111" i="1"/>
  <c r="N110" i="1"/>
  <c r="G39" i="4" l="1"/>
  <c r="I38" i="4"/>
  <c r="H109" i="1" s="1"/>
  <c r="I109" i="1" s="1"/>
  <c r="L109" i="1" s="1"/>
  <c r="H38" i="4"/>
  <c r="M112" i="1"/>
  <c r="N111" i="1"/>
  <c r="G40" i="4" l="1"/>
  <c r="I39" i="4"/>
  <c r="H110" i="1" s="1"/>
  <c r="I110" i="1" s="1"/>
  <c r="L110" i="1" s="1"/>
  <c r="H39" i="4"/>
  <c r="M113" i="1"/>
  <c r="N112" i="1"/>
  <c r="H40" i="4" l="1"/>
  <c r="G41" i="4"/>
  <c r="I40" i="4"/>
  <c r="H111" i="1" s="1"/>
  <c r="I111" i="1" s="1"/>
  <c r="L111" i="1" s="1"/>
  <c r="M114" i="1"/>
  <c r="N113" i="1"/>
  <c r="I41" i="4" l="1"/>
  <c r="H112" i="1" s="1"/>
  <c r="I112" i="1" s="1"/>
  <c r="L112" i="1" s="1"/>
  <c r="H41" i="4"/>
  <c r="G42" i="4"/>
  <c r="M115" i="1"/>
  <c r="N114" i="1"/>
  <c r="I42" i="4" l="1"/>
  <c r="H113" i="1" s="1"/>
  <c r="G43" i="4"/>
  <c r="H42" i="4"/>
  <c r="N115" i="1"/>
  <c r="G44" i="4" l="1"/>
  <c r="I43" i="4"/>
  <c r="H114" i="1" s="1"/>
  <c r="H43" i="4"/>
  <c r="L113" i="1"/>
  <c r="I113" i="1"/>
  <c r="P115" i="1"/>
  <c r="N116" i="1"/>
  <c r="H44" i="4" l="1"/>
  <c r="G45" i="4"/>
  <c r="I44" i="4"/>
  <c r="H115" i="1" s="1"/>
  <c r="L114" i="1"/>
  <c r="I114" i="1"/>
  <c r="J114" i="1" s="1"/>
  <c r="S115" i="1"/>
  <c r="S120" i="1" s="1"/>
  <c r="M116" i="1"/>
  <c r="N117" i="1"/>
  <c r="L115" i="1" l="1"/>
  <c r="I115" i="1"/>
  <c r="J115" i="1" s="1"/>
  <c r="V115" i="1" s="1"/>
  <c r="I45" i="4"/>
  <c r="H116" i="1" s="1"/>
  <c r="H45" i="4"/>
  <c r="G46" i="4"/>
  <c r="J113" i="1"/>
  <c r="V113" i="1" s="1"/>
  <c r="M117" i="1"/>
  <c r="N118" i="1"/>
  <c r="Q120" i="1"/>
  <c r="R120" i="1"/>
  <c r="L116" i="1" l="1"/>
  <c r="I116" i="1"/>
  <c r="J116" i="1" s="1"/>
  <c r="V114" i="1"/>
  <c r="H46" i="4"/>
  <c r="G47" i="4"/>
  <c r="I46" i="4"/>
  <c r="H117" i="1" s="1"/>
  <c r="M118" i="1"/>
  <c r="N119" i="1"/>
  <c r="M119" i="1" s="1"/>
  <c r="L117" i="1" l="1"/>
  <c r="I117" i="1"/>
  <c r="J117" i="1" s="1"/>
  <c r="V117" i="1" s="1"/>
  <c r="G48" i="4"/>
  <c r="I47" i="4"/>
  <c r="H118" i="1" s="1"/>
  <c r="H47" i="4"/>
  <c r="V116" i="1"/>
  <c r="N120" i="1"/>
  <c r="N121" i="1" s="1"/>
  <c r="L118" i="1" l="1"/>
  <c r="I118" i="1"/>
  <c r="J118" i="1" s="1"/>
  <c r="V118" i="1" s="1"/>
  <c r="G49" i="4"/>
  <c r="I48" i="4"/>
  <c r="H119" i="1" s="1"/>
  <c r="H48" i="4"/>
  <c r="N122" i="1"/>
  <c r="M121" i="1"/>
  <c r="M120" i="1"/>
  <c r="M123" i="1" l="1"/>
  <c r="L123" i="1" s="1"/>
  <c r="I49" i="4"/>
  <c r="G50" i="4"/>
  <c r="H49" i="4"/>
  <c r="I119" i="1"/>
  <c r="J119" i="1" s="1"/>
  <c r="V119" i="1" s="1"/>
  <c r="L119" i="1"/>
  <c r="P122" i="1"/>
  <c r="Q122" i="1" s="1"/>
  <c r="Q123" i="1" s="1"/>
  <c r="H120" i="1" l="1"/>
  <c r="L120" i="1" s="1"/>
  <c r="M125" i="1"/>
  <c r="L125" i="1" s="1"/>
  <c r="M124" i="1"/>
  <c r="L124" i="1" s="1"/>
  <c r="I50" i="4"/>
  <c r="H50" i="4"/>
  <c r="H51" i="4" s="1"/>
  <c r="I51" i="4"/>
  <c r="R122" i="1"/>
  <c r="R123" i="1" s="1"/>
  <c r="S122" i="1"/>
  <c r="S123" i="1" s="1"/>
  <c r="I120" i="1"/>
  <c r="J120" i="1" s="1"/>
  <c r="V120" i="1" s="1"/>
  <c r="H122" i="1" l="1"/>
  <c r="H121" i="1"/>
  <c r="I121" i="1" s="1"/>
  <c r="J121" i="1" s="1"/>
  <c r="V121" i="1" s="1"/>
  <c r="T123" i="1"/>
  <c r="T124" i="1" s="1"/>
  <c r="L122" i="1"/>
  <c r="F52" i="1"/>
  <c r="F51" i="1"/>
  <c r="F46" i="1"/>
  <c r="I122" i="1"/>
  <c r="J122" i="1" s="1"/>
  <c r="L121" i="1" l="1"/>
  <c r="V1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</author>
    <author>Steven Stoft</author>
    <author>tc={31C1A1AF-3012-4274-8497-7F9AB9E028EE}</author>
  </authors>
  <commentList>
    <comment ref="I3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Calculated from Fed GDP data and treasury Debt data</t>
        </r>
      </text>
    </comment>
    <comment ref="J3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Same except it use 2008 OMB data from 1940 -- 2006</t>
        </r>
      </text>
    </comment>
    <comment ref="G34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Steven Stoft:</t>
        </r>
        <r>
          <rPr>
            <sz val="9"/>
            <color indexed="81"/>
            <rFont val="Tahoma"/>
            <family val="2"/>
          </rPr>
          <t xml:space="preserve">
The FY ended June 30 untill 1977, when it changed to Sept. 30.</t>
        </r>
      </text>
    </comment>
    <comment ref="D87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Steven Stoft:</t>
        </r>
        <r>
          <rPr>
            <sz val="9"/>
            <color indexed="81"/>
            <rFont val="Tahoma"/>
            <family val="2"/>
          </rPr>
          <t xml:space="preserve">
Reagan said $1T was 67 miles of $1000 bills. This is how many miles he added.</t>
        </r>
      </text>
    </comment>
    <comment ref="L8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Adjusted to match the OMB data, which is used for the Actual Debt% path. Gradually this adjustment is taken away to avoid a disruption when the OMB data vanishes,  and to prevent the discrepancy from dominating the graph when the Debt % is near zero in the early 2000's</t>
        </r>
      </text>
    </comment>
    <comment ref="M100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Steven Stoft:</t>
        </r>
        <r>
          <rPr>
            <sz val="9"/>
            <color indexed="81"/>
            <rFont val="Tahoma"/>
            <family val="2"/>
          </rPr>
          <t xml:space="preserve">
Call this the "Debt-IF." It's less than the "Actual-Debt," because of R balancing.
</t>
        </r>
      </text>
    </comment>
    <comment ref="N100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Steven Stoft:</t>
        </r>
        <r>
          <rPr>
            <sz val="9"/>
            <color indexed="81"/>
            <rFont val="Tahoma"/>
            <family val="2"/>
          </rPr>
          <t xml:space="preserve">
Republicans are only charged for interest on the "Republican debt" -- the part of the debt they are responsible for (not on the actual debt).</t>
        </r>
      </text>
    </comment>
    <comment ref="J1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Steven Stoft:</t>
        </r>
        <r>
          <rPr>
            <sz val="9"/>
            <color indexed="81"/>
            <rFont val="Tahoma"/>
            <family val="2"/>
          </rPr>
          <t xml:space="preserve">
Smooth the transition from OMB data to Treasury&amp;FRED data.
Otherwise there is a spurious dip at the trasition.</t>
        </r>
      </text>
    </comment>
    <comment ref="O122" authorId="2" shapeId="0" xr:uid="{31C1A1AF-3012-4274-8497-7F9AB9E028E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means Interest is the cause of the continuing increase under Obama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0" background="1">
    <webPr url="https://research.stlouisfed.org/fred2/data/FRED data. Just hit &quot;Update Data&quot; and all raw data updates.txt" htmlTables="1" htmlFormat="all"/>
  </connection>
</connections>
</file>

<file path=xl/sharedStrings.xml><?xml version="1.0" encoding="utf-8"?>
<sst xmlns="http://schemas.openxmlformats.org/spreadsheetml/2006/main" count="380" uniqueCount="215">
  <si>
    <t>End FY</t>
  </si>
  <si>
    <t>Gross National Debt</t>
  </si>
  <si>
    <t>http://www.treasurydirect.gov/govt/reports/ir/ir_expense.htm</t>
  </si>
  <si>
    <t>http://www.treasurydirect.gov/govt/reports/pd/pd_debttothepenny.htm</t>
  </si>
  <si>
    <t>FY</t>
  </si>
  <si>
    <t>Interest</t>
  </si>
  <si>
    <t>Rate</t>
  </si>
  <si>
    <t>Nominal</t>
  </si>
  <si>
    <t>GDP</t>
  </si>
  <si>
    <t>Debt as</t>
  </si>
  <si>
    <t>% of GDP</t>
  </si>
  <si>
    <t>lin</t>
  </si>
  <si>
    <t>Quarterly</t>
  </si>
  <si>
    <t>Q</t>
  </si>
  <si>
    <t>date</t>
  </si>
  <si>
    <t>value</t>
  </si>
  <si>
    <t>Balanced</t>
  </si>
  <si>
    <t>Reagan</t>
  </si>
  <si>
    <t>Bush</t>
  </si>
  <si>
    <t>Debt</t>
  </si>
  <si>
    <t>Billions $</t>
  </si>
  <si>
    <t>Source of</t>
  </si>
  <si>
    <t>R. Debt</t>
  </si>
  <si>
    <t>Bush II</t>
  </si>
  <si>
    <t>Increase</t>
  </si>
  <si>
    <t>Bush I</t>
  </si>
  <si>
    <t>Total</t>
  </si>
  <si>
    <t>Total:</t>
  </si>
  <si>
    <t>time axis:</t>
  </si>
  <si>
    <t>N/A:</t>
  </si>
  <si>
    <t>....................................</t>
  </si>
  <si>
    <t>TQ</t>
  </si>
  <si>
    <t>.......................................</t>
  </si>
  <si>
    <t>estimate</t>
  </si>
  <si>
    <t>.....................</t>
  </si>
  <si>
    <t>N/A</t>
  </si>
  <si>
    <t>HISTORICAL   TABLES</t>
  </si>
  <si>
    <t>BUDGET OF THE UNITED STATES GOVERNMENT</t>
  </si>
  <si>
    <t>Fiscal Year 2008</t>
  </si>
  <si>
    <t>Table 7.1—FEDERAL DEBT AT THE END OF YEAR: 1940–2012</t>
  </si>
  <si>
    <t>Gross</t>
  </si>
  <si>
    <t>Federal</t>
  </si>
  <si>
    <t>End of Fiscal Year</t>
  </si>
  <si>
    <t>As Percentages of GDP</t>
  </si>
  <si>
    <t>Historical Tables 7.1, FY 2008</t>
  </si>
  <si>
    <t>Treasury - Debt to the penny</t>
  </si>
  <si>
    <t>Treasury - interest on debt</t>
  </si>
  <si>
    <t>Blue value are from G.W. Bush's OMB</t>
  </si>
  <si>
    <t>In the earliest years, this gives</t>
  </si>
  <si>
    <t>Held</t>
  </si>
  <si>
    <t>by the</t>
  </si>
  <si>
    <t>Public</t>
  </si>
  <si>
    <t>a significantly different Gross Federal Debt</t>
  </si>
  <si>
    <t>than is given by the Treasury.</t>
  </si>
  <si>
    <t>Even though they are both End of Fisca Year values</t>
  </si>
  <si>
    <t>Treasurey value</t>
  </si>
  <si>
    <t>GDPA</t>
  </si>
  <si>
    <t>Gross Domestic Product</t>
  </si>
  <si>
    <t>Annual</t>
  </si>
  <si>
    <t>Billions of Dollars</t>
  </si>
  <si>
    <t>A</t>
  </si>
  <si>
    <t>http://www.treasurydirect.gov/govt/reports/pd/histdebt/histdebt_histo4.htm</t>
  </si>
  <si>
    <t> 72,422,445,116.22</t>
  </si>
  <si>
    <t> 48,961,443,535.71</t>
  </si>
  <si>
    <t> 42,967,531,037.68</t>
  </si>
  <si>
    <t> 40,439,532,411.11</t>
  </si>
  <si>
    <t> 37,164,740,315.45</t>
  </si>
  <si>
    <t> 36,424,613,732.29</t>
  </si>
  <si>
    <t> 33,778,543,493.73</t>
  </si>
  <si>
    <t> 28,700,892,624.53</t>
  </si>
  <si>
    <t> 27,053,141,414.48</t>
  </si>
  <si>
    <t> 22,538,672,560.15</t>
  </si>
  <si>
    <t> 19,487,002,444.13</t>
  </si>
  <si>
    <t> 16,801,281,491.71</t>
  </si>
  <si>
    <t> 16,185,309,831.43</t>
  </si>
  <si>
    <t> 16,931,088,484.10</t>
  </si>
  <si>
    <t> 17,604,293,201.43</t>
  </si>
  <si>
    <t> 18,511,906,931.85</t>
  </si>
  <si>
    <t> 19,643,216,315.19</t>
  </si>
  <si>
    <t> 20,516,193,887.90</t>
  </si>
  <si>
    <t> 21,250,812,989.49</t>
  </si>
  <si>
    <t> 22,349,707,365.36</t>
  </si>
  <si>
    <t> 22,963,381,708.31</t>
  </si>
  <si>
    <t> 23,977,450,552.54</t>
  </si>
  <si>
    <t> 25,952,456,406.16</t>
  </si>
  <si>
    <t> 27,390,970,113.12</t>
  </si>
  <si>
    <t> 14,592,161,414.00</t>
  </si>
  <si>
    <t>  5,717,770,279.52</t>
  </si>
  <si>
    <t>  3,609,244,262.16</t>
  </si>
  <si>
    <t>  3,058,136,873.16</t>
  </si>
  <si>
    <t>  2,912,499,269.16</t>
  </si>
  <si>
    <t>  2,916,204,913.66</t>
  </si>
  <si>
    <t>  2,868,373,874.16</t>
  </si>
  <si>
    <t>  2,765,600,606.69</t>
  </si>
  <si>
    <t>  2,652,665,838.04</t>
  </si>
  <si>
    <t>  2,639,546,241.04</t>
  </si>
  <si>
    <t>  2,626,806,271.54</t>
  </si>
  <si>
    <t>  2,457,188,061.54</t>
  </si>
  <si>
    <t>  2,337,161,839.04</t>
  </si>
  <si>
    <t>  2,274,615,063.84</t>
  </si>
  <si>
    <t>  2,264,003,585.14</t>
  </si>
  <si>
    <t>  2,202,464,781.89</t>
  </si>
  <si>
    <t>  2,158,610,445.89</t>
  </si>
  <si>
    <t>  2,143,326,933.89</t>
  </si>
  <si>
    <t>  2,136,961,091.67</t>
  </si>
  <si>
    <t>http://www.treasurydirect.gov/govt/reports/pd/histdebt/histdebt_histo3.htm</t>
  </si>
  <si>
    <t>http://www.treasurydirect.gov/govt/reports/pd/histdebt/histdebt_histo5.htm</t>
  </si>
  <si>
    <t>Natioal Debt Outstanding at end of fiscal year</t>
  </si>
  <si>
    <t xml:space="preserve"> </t>
  </si>
  <si>
    <t>This data is used for finding the GDP on Sept. 30, from 1977 on</t>
  </si>
  <si>
    <t>Since, starting in 1977, the FY ended then.</t>
  </si>
  <si>
    <t>End of</t>
  </si>
  <si>
    <t>Fiscal Yr</t>
  </si>
  <si>
    <t>The OMB table is reporduced in Tab: OMB 2008</t>
  </si>
  <si>
    <t>Interest rate is calced</t>
  </si>
  <si>
    <t>during the fiscal year</t>
  </si>
  <si>
    <t>over which the</t>
  </si>
  <si>
    <t>interest was paid.</t>
  </si>
  <si>
    <t>using the averge debt</t>
  </si>
  <si>
    <t>Interest is from the Treasury</t>
  </si>
  <si>
    <t>Republicans</t>
  </si>
  <si>
    <t>responsible</t>
  </si>
  <si>
    <t>for this part</t>
  </si>
  <si>
    <t>of the Debt</t>
  </si>
  <si>
    <t>their budgets</t>
  </si>
  <si>
    <t>balance</t>
  </si>
  <si>
    <t xml:space="preserve">because </t>
  </si>
  <si>
    <t>they didn't</t>
  </si>
  <si>
    <t>Debt IF</t>
  </si>
  <si>
    <t>the</t>
  </si>
  <si>
    <t xml:space="preserve">had </t>
  </si>
  <si>
    <t xml:space="preserve">Their </t>
  </si>
  <si>
    <t>Budgets</t>
  </si>
  <si>
    <t>This is hypothetical, and lower than the …</t>
  </si>
  <si>
    <r>
      <rPr>
        <b/>
        <sz val="11"/>
        <color theme="1"/>
        <rFont val="Calibri"/>
        <family val="2"/>
        <scheme val="minor"/>
      </rPr>
      <t>Actual Debt:</t>
    </r>
    <r>
      <rPr>
        <sz val="11"/>
        <color theme="1"/>
        <rFont val="Calibri"/>
        <family val="2"/>
        <scheme val="minor"/>
      </rPr>
      <t xml:space="preserve">  the historical debt</t>
    </r>
  </si>
  <si>
    <r>
      <rPr>
        <b/>
        <sz val="11"/>
        <color theme="1"/>
        <rFont val="Calibri"/>
        <family val="2"/>
        <scheme val="minor"/>
      </rPr>
      <t>First:</t>
    </r>
    <r>
      <rPr>
        <sz val="11"/>
        <color theme="1"/>
        <rFont val="Calibri"/>
        <family val="2"/>
        <scheme val="minor"/>
      </rPr>
      <t xml:space="preserve"> Calculate the "</t>
    </r>
    <r>
      <rPr>
        <b/>
        <sz val="11"/>
        <color theme="1"/>
        <rFont val="Calibri"/>
        <family val="2"/>
        <scheme val="minor"/>
      </rPr>
      <t>Debt-IF</t>
    </r>
    <r>
      <rPr>
        <sz val="11"/>
        <color theme="1"/>
        <rFont val="Calibri"/>
        <family val="2"/>
        <scheme val="minor"/>
      </rPr>
      <t>" the R's balanced budgets.</t>
    </r>
  </si>
  <si>
    <r>
      <rPr>
        <b/>
        <sz val="11"/>
        <color theme="1"/>
        <rFont val="Calibri"/>
        <family val="2"/>
        <scheme val="minor"/>
      </rPr>
      <t>Republican Debt</t>
    </r>
    <r>
      <rPr>
        <sz val="11"/>
        <color theme="1"/>
        <rFont val="Calibri"/>
        <family val="2"/>
        <scheme val="minor"/>
      </rPr>
      <t xml:space="preserve"> = (Actual Debt) - (Debt IF)</t>
    </r>
  </si>
  <si>
    <t>In other words the R-Debt is the amount by which</t>
  </si>
  <si>
    <t>the Actual Debt is too high -- higher than IF the Rs</t>
  </si>
  <si>
    <t>had balanced their budgets.</t>
  </si>
  <si>
    <r>
      <rPr>
        <b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>: Calculat the "</t>
    </r>
    <r>
      <rPr>
        <b/>
        <sz val="11"/>
        <color theme="1"/>
        <rFont val="Calibri"/>
        <family val="2"/>
        <scheme val="minor"/>
      </rPr>
      <t>R-Debt</t>
    </r>
    <r>
      <rPr>
        <sz val="11"/>
        <color theme="1"/>
        <rFont val="Calibri"/>
        <family val="2"/>
        <scheme val="minor"/>
      </rPr>
      <t>,"</t>
    </r>
  </si>
  <si>
    <t>the part Reagan-Bushes are repsonsible fo. The</t>
  </si>
  <si>
    <r>
      <t xml:space="preserve">And:   </t>
    </r>
    <r>
      <rPr>
        <b/>
        <sz val="11"/>
        <color theme="1"/>
        <rFont val="Calibri"/>
        <family val="2"/>
        <scheme val="minor"/>
      </rPr>
      <t>Debt IF</t>
    </r>
    <r>
      <rPr>
        <sz val="11"/>
        <color theme="1"/>
        <rFont val="Calibri"/>
        <family val="2"/>
        <scheme val="minor"/>
      </rPr>
      <t xml:space="preserve"> = (Actual Debt) </t>
    </r>
    <r>
      <rPr>
        <sz val="11"/>
        <color theme="1"/>
        <rFont val="Calibri"/>
        <family val="2"/>
      </rPr>
      <t>‒</t>
    </r>
    <r>
      <rPr>
        <sz val="11"/>
        <color theme="1"/>
        <rFont val="Calibri"/>
        <family val="2"/>
        <scheme val="minor"/>
      </rPr>
      <t xml:space="preserve"> (R-Debt)</t>
    </r>
  </si>
  <si>
    <t>interest on the Republican R-Debt.</t>
  </si>
  <si>
    <t>The Calculation Methods Depend on who's in office</t>
  </si>
  <si>
    <t>If Rs (Republicans) in office:</t>
  </si>
  <si>
    <t xml:space="preserve">If Ds are in office: </t>
  </si>
  <si>
    <t>then "Debt-IF" is controled by the Dems</t>
  </si>
  <si>
    <t>So first find the R-Debt which increases by the</t>
  </si>
  <si>
    <t>Start of Obama's 1st Fiscal Year</t>
  </si>
  <si>
    <t>Debt/GDP</t>
  </si>
  <si>
    <t>Increase?</t>
  </si>
  <si>
    <t>1 = Yes</t>
  </si>
  <si>
    <t>Years</t>
  </si>
  <si>
    <t>https://www.thebalance.com/who-owns-the-u-s-national-debt-3306124</t>
  </si>
  <si>
    <t>Social Security</t>
  </si>
  <si>
    <t>Social Security (Social Security Trust Fund and Federal Disability Insurance Trust Fund) - $2.786 trillion</t>
  </si>
  <si>
    <t>Medicare (Federal Hospital Insurance Trust Fund, Federal Supplementary Medical Insurance Trust Fund) - $267 billion</t>
  </si>
  <si>
    <t>All Other Retirement Funds - $187 billion</t>
  </si>
  <si>
    <t>Cash on Hand to Fund Federal Government Operations - $508 billion. (Source: Treasury Bulletin, Monthly Treasury Statement, Table 6. Schedule D-Investments of Federal Government Accounts in Federal Securities, December 2015)</t>
  </si>
  <si>
    <t>TheBalance.com data as of 31 Dec 2015</t>
  </si>
  <si>
    <t>$ Billions</t>
  </si>
  <si>
    <t>Office of Personnel Management Retirement</t>
  </si>
  <si>
    <t xml:space="preserve"> - $601 billion</t>
  </si>
  <si>
    <t>Military Retirement Fund</t>
  </si>
  <si>
    <t>Medicare</t>
  </si>
  <si>
    <t>Other retirement funds</t>
  </si>
  <si>
    <t>Cash on hand</t>
  </si>
  <si>
    <t>https://www.fiscal.treasury.gov/fsreports/rpt/mthTreasStmt/mts1215.pdf</t>
  </si>
  <si>
    <t>Treasury document</t>
  </si>
  <si>
    <t>Note Fiscal Year 2006 ends in 2006</t>
  </si>
  <si>
    <t>Note: Fiscal Year 2006 ends in 2006</t>
  </si>
  <si>
    <t>01/01/2015 on annual data means the average for the whole year (4 quarters) -- checked with Q data for 2015</t>
  </si>
  <si>
    <t>FY end changes Jun 30 -&gt; Sep 30</t>
  </si>
  <si>
    <t>To refresh data, With FRED installed</t>
  </si>
  <si>
    <t>FJust hit "Update Data" and all raw data updates</t>
  </si>
  <si>
    <t>This is the GDP data used to compute N.Debt/GDP, when OMB data is missing before 1940 and after 2006.</t>
  </si>
  <si>
    <t>Foreign</t>
  </si>
  <si>
    <t>public</t>
  </si>
  <si>
    <t>Intra-gov</t>
  </si>
  <si>
    <t>Non-foreign public</t>
  </si>
  <si>
    <t>Intra gov</t>
  </si>
  <si>
    <t>U.S. Bureau of Economic Analysis</t>
  </si>
  <si>
    <t>1929-01-01 to 2018-01-01</t>
  </si>
  <si>
    <t>1947-01-01 to 2019-01-01</t>
  </si>
  <si>
    <t>Extrapolation formulas</t>
  </si>
  <si>
    <t>FRED</t>
  </si>
  <si>
    <t>Treasury</t>
  </si>
  <si>
    <t>`</t>
  </si>
  <si>
    <t>First quarter</t>
  </si>
  <si>
    <t>Q2</t>
  </si>
  <si>
    <t>Q3</t>
  </si>
  <si>
    <t>Q4</t>
  </si>
  <si>
    <t>From Here On, I will use end of quarter estimates of GDP along with similar N.Debt dates. So this value goes with 9/30 = 10/1</t>
  </si>
  <si>
    <t>Billions</t>
  </si>
  <si>
    <t>&lt;== Nominal GDP is the only new FRED number needed for the graph</t>
  </si>
  <si>
    <t>&lt;== switch to quarterly values starting here</t>
  </si>
  <si>
    <t>Final Obama value</t>
  </si>
  <si>
    <t>Trump</t>
  </si>
  <si>
    <t>Reagan-Bushes</t>
  </si>
  <si>
    <t>Graphed</t>
  </si>
  <si>
    <t>If R&amp;Bs had balanced</t>
  </si>
  <si>
    <t>Including the cost of interest</t>
  </si>
  <si>
    <t>Then the nominal debt would have been constant during R&amp;Bs</t>
  </si>
  <si>
    <t>But during Clinton and Obama</t>
  </si>
  <si>
    <t>it would have gone up slower (or down faster) than it actually did</t>
  </si>
  <si>
    <t>Because the Debt growth in those years did include an interest adder</t>
  </si>
  <si>
    <t>that was due to the Republican Debt.</t>
  </si>
  <si>
    <t>So to get the right answer, I must track the Republican Debt during the Clinton/Obama years</t>
  </si>
  <si>
    <t>The "Republican Debt" is:</t>
  </si>
  <si>
    <t xml:space="preserve">     1. The difference between actual and balanced budget debt durin R &amp; B1.</t>
  </si>
  <si>
    <t xml:space="preserve">     2. Then under Obama it only grows by interest on itself (not Obama's part)</t>
  </si>
  <si>
    <t>During Trumps time, I'll assume a balanced budget, so the nominal debt is constant again.</t>
  </si>
  <si>
    <t>To save, copy from here and paste directly into Adobe Elements</t>
  </si>
  <si>
    <t>For a discussion of this graph, click here to go to zfacts.com/national-debt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</si>
</sst>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164" formatCode="0.0%"/>
    <numFmt numFmtId="165" formatCode="#,##0.0"/>
    <numFmt numFmtId="166" formatCode="[$-409]mmm\-yy;@"/>
    <numFmt numFmtId="167" formatCode="mm/dd/yyyy"/>
    <numFmt numFmtId="168" formatCode="&quot;$&quot;#,##0"/>
    <numFmt numFmtId="169" formatCode="m/d/yy;@"/>
    <numFmt numFmtId="170" formatCode="mm/dd/yy;@"/>
    <numFmt numFmtId="171" formatCode="0.0"/>
    <numFmt numFmtId="172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rgb="FF222222"/>
      <name val="Times New Roman"/>
      <family val="1"/>
    </font>
    <font>
      <sz val="9.9"/>
      <color rgb="FF333333"/>
      <name val="Arial"/>
      <family val="2"/>
    </font>
    <font>
      <sz val="11"/>
      <name val="Calibri"/>
      <family val="2"/>
      <scheme val="minor"/>
    </font>
    <font>
      <sz val="9.9"/>
      <color rgb="FF333333"/>
      <name val="Verdana"/>
      <family val="2"/>
    </font>
    <font>
      <b/>
      <u/>
      <sz val="14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6600"/>
      </left>
      <right style="mediumDashed">
        <color rgb="FFCCCCCC"/>
      </right>
      <top style="medium">
        <color rgb="FFFF6600"/>
      </top>
      <bottom style="medium">
        <color rgb="FFFF6600"/>
      </bottom>
      <diagonal/>
    </border>
    <border>
      <left/>
      <right style="mediumDashed">
        <color rgb="FFCCCCCC"/>
      </right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6600"/>
      </left>
      <right style="mediumDashed">
        <color rgb="FFCCCCCC"/>
      </right>
      <top style="medium">
        <color rgb="FFFF6600"/>
      </top>
      <bottom style="mediumDashed">
        <color rgb="FFCCCCCC"/>
      </bottom>
      <diagonal/>
    </border>
    <border>
      <left/>
      <right style="medium">
        <color rgb="FFFF6600"/>
      </right>
      <top style="medium">
        <color rgb="FFFF6600"/>
      </top>
      <bottom style="mediumDashed">
        <color rgb="FFCCCCCC"/>
      </bottom>
      <diagonal/>
    </border>
    <border>
      <left style="medium">
        <color rgb="FFFF6600"/>
      </left>
      <right style="mediumDashed">
        <color rgb="FFCCCCCC"/>
      </right>
      <top/>
      <bottom style="mediumDashed">
        <color rgb="FFCCCCCC"/>
      </bottom>
      <diagonal/>
    </border>
    <border>
      <left/>
      <right style="medium">
        <color rgb="FFFF6600"/>
      </right>
      <top/>
      <bottom style="mediumDashed">
        <color rgb="FFCCCCCC"/>
      </bottom>
      <diagonal/>
    </border>
    <border>
      <left style="medium">
        <color rgb="FFFF6600"/>
      </left>
      <right style="mediumDashed">
        <color rgb="FFCCCCCC"/>
      </right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8" fontId="8" fillId="3" borderId="1" applyProtection="0">
      <alignment horizontal="right"/>
    </xf>
    <xf numFmtId="8" fontId="9" fillId="4" borderId="1" applyProtection="0">
      <alignment horizontal="right"/>
    </xf>
    <xf numFmtId="9" fontId="3" fillId="0" borderId="0" applyFont="0" applyFill="0" applyBorder="0" applyAlignment="0" applyProtection="0"/>
  </cellStyleXfs>
  <cellXfs count="121">
    <xf numFmtId="0" fontId="0" fillId="0" borderId="0" xfId="0"/>
    <xf numFmtId="14" fontId="3" fillId="0" borderId="0" xfId="2" applyNumberFormat="1"/>
    <xf numFmtId="3" fontId="3" fillId="0" borderId="0" xfId="2" applyNumberFormat="1"/>
    <xf numFmtId="0" fontId="4" fillId="0" borderId="0" xfId="2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3" fillId="0" borderId="0" xfId="2"/>
    <xf numFmtId="0" fontId="6" fillId="0" borderId="0" xfId="3" applyAlignment="1" applyProtection="1"/>
    <xf numFmtId="0" fontId="7" fillId="0" borderId="0" xfId="3" applyFont="1" applyAlignment="1" applyProtection="1"/>
    <xf numFmtId="3" fontId="4" fillId="0" borderId="0" xfId="2" applyNumberFormat="1" applyFont="1" applyAlignment="1">
      <alignment horizontal="right"/>
    </xf>
    <xf numFmtId="0" fontId="4" fillId="0" borderId="2" xfId="2" applyFont="1" applyBorder="1" applyAlignment="1">
      <alignment horizontal="center"/>
    </xf>
    <xf numFmtId="164" fontId="0" fillId="0" borderId="2" xfId="6" applyNumberFormat="1" applyFont="1" applyBorder="1" applyAlignment="1">
      <alignment horizontal="center"/>
    </xf>
    <xf numFmtId="165" fontId="3" fillId="0" borderId="0" xfId="2" applyNumberFormat="1" applyAlignment="1">
      <alignment horizontal="right"/>
    </xf>
    <xf numFmtId="166" fontId="3" fillId="0" borderId="0" xfId="2" applyNumberFormat="1"/>
    <xf numFmtId="165" fontId="3" fillId="0" borderId="0" xfId="2" applyNumberFormat="1"/>
    <xf numFmtId="0" fontId="3" fillId="0" borderId="0" xfId="2" applyFont="1" applyAlignment="1">
      <alignment horizontal="right"/>
    </xf>
    <xf numFmtId="14" fontId="0" fillId="0" borderId="0" xfId="0" applyNumberFormat="1"/>
    <xf numFmtId="167" fontId="0" fillId="0" borderId="0" xfId="0" applyNumberFormat="1"/>
    <xf numFmtId="167" fontId="6" fillId="0" borderId="0" xfId="3" applyNumberFormat="1" applyAlignment="1" applyProtection="1"/>
    <xf numFmtId="3" fontId="0" fillId="0" borderId="0" xfId="0" applyNumberFormat="1"/>
    <xf numFmtId="0" fontId="0" fillId="0" borderId="0" xfId="0" quotePrefix="1"/>
    <xf numFmtId="164" fontId="0" fillId="0" borderId="0" xfId="1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9" fontId="0" fillId="0" borderId="0" xfId="1" applyNumberFormat="1" applyFont="1"/>
    <xf numFmtId="9" fontId="3" fillId="0" borderId="0" xfId="2" applyNumberFormat="1"/>
    <xf numFmtId="169" fontId="3" fillId="0" borderId="0" xfId="2" applyNumberFormat="1"/>
    <xf numFmtId="0" fontId="3" fillId="0" borderId="0" xfId="2" applyFont="1"/>
    <xf numFmtId="170" fontId="3" fillId="0" borderId="0" xfId="2" applyNumberFormat="1" applyFont="1"/>
    <xf numFmtId="164" fontId="3" fillId="0" borderId="0" xfId="1" applyNumberFormat="1" applyFont="1"/>
    <xf numFmtId="164" fontId="0" fillId="6" borderId="0" xfId="1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2" xfId="0" applyBorder="1"/>
    <xf numFmtId="0" fontId="0" fillId="5" borderId="0" xfId="0" applyFill="1" applyBorder="1"/>
    <xf numFmtId="3" fontId="0" fillId="0" borderId="0" xfId="0" applyNumberFormat="1" applyBorder="1"/>
    <xf numFmtId="0" fontId="0" fillId="0" borderId="11" xfId="0" applyBorder="1"/>
    <xf numFmtId="0" fontId="0" fillId="0" borderId="3" xfId="0" applyBorder="1"/>
    <xf numFmtId="3" fontId="0" fillId="0" borderId="3" xfId="0" applyNumberFormat="1" applyBorder="1"/>
    <xf numFmtId="0" fontId="0" fillId="0" borderId="12" xfId="0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horizontal="left"/>
    </xf>
    <xf numFmtId="171" fontId="11" fillId="0" borderId="0" xfId="0" applyNumberFormat="1" applyFont="1"/>
    <xf numFmtId="171" fontId="0" fillId="0" borderId="0" xfId="0" applyNumberFormat="1" applyAlignment="1">
      <alignment horizontal="center"/>
    </xf>
    <xf numFmtId="4" fontId="12" fillId="0" borderId="0" xfId="0" applyNumberFormat="1" applyFont="1"/>
    <xf numFmtId="4" fontId="0" fillId="0" borderId="0" xfId="0" applyNumberFormat="1"/>
    <xf numFmtId="0" fontId="12" fillId="0" borderId="0" xfId="0" applyFont="1"/>
    <xf numFmtId="14" fontId="12" fillId="0" borderId="0" xfId="0" applyNumberFormat="1" applyFont="1"/>
    <xf numFmtId="4" fontId="0" fillId="0" borderId="0" xfId="0" applyNumberFormat="1" applyAlignment="1">
      <alignment horizontal="right"/>
    </xf>
    <xf numFmtId="8" fontId="0" fillId="0" borderId="0" xfId="0" applyNumberFormat="1"/>
    <xf numFmtId="0" fontId="3" fillId="0" borderId="0" xfId="2" applyAlignment="1">
      <alignment horizontal="right"/>
    </xf>
    <xf numFmtId="166" fontId="14" fillId="0" borderId="0" xfId="0" applyNumberFormat="1" applyFont="1"/>
    <xf numFmtId="0" fontId="2" fillId="7" borderId="4" xfId="0" applyFont="1" applyFill="1" applyBorder="1"/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2" fontId="0" fillId="0" borderId="0" xfId="0" applyNumberFormat="1"/>
    <xf numFmtId="2" fontId="0" fillId="0" borderId="0" xfId="0" applyNumberFormat="1"/>
    <xf numFmtId="0" fontId="2" fillId="0" borderId="3" xfId="0" applyFont="1" applyBorder="1" applyAlignment="1">
      <alignment horizontal="center"/>
    </xf>
    <xf numFmtId="0" fontId="0" fillId="2" borderId="0" xfId="0" applyFill="1" applyBorder="1"/>
    <xf numFmtId="0" fontId="17" fillId="0" borderId="0" xfId="0" applyFont="1"/>
    <xf numFmtId="6" fontId="0" fillId="0" borderId="0" xfId="0" applyNumberFormat="1"/>
    <xf numFmtId="0" fontId="0" fillId="0" borderId="0" xfId="0" applyAlignment="1">
      <alignment horizontal="left" indent="1"/>
    </xf>
    <xf numFmtId="166" fontId="3" fillId="0" borderId="3" xfId="2" applyNumberFormat="1" applyBorder="1"/>
    <xf numFmtId="165" fontId="3" fillId="0" borderId="3" xfId="2" applyNumberFormat="1" applyBorder="1"/>
    <xf numFmtId="164" fontId="3" fillId="0" borderId="3" xfId="1" applyNumberFormat="1" applyFont="1" applyBorder="1"/>
    <xf numFmtId="164" fontId="0" fillId="6" borderId="3" xfId="1" applyNumberFormat="1" applyFont="1" applyFill="1" applyBorder="1"/>
    <xf numFmtId="14" fontId="18" fillId="4" borderId="13" xfId="0" applyNumberFormat="1" applyFont="1" applyFill="1" applyBorder="1" applyAlignment="1">
      <alignment horizontal="right" vertical="top" wrapText="1"/>
    </xf>
    <xf numFmtId="3" fontId="18" fillId="4" borderId="14" xfId="0" applyNumberFormat="1" applyFont="1" applyFill="1" applyBorder="1" applyAlignment="1">
      <alignment horizontal="right" vertical="top" wrapText="1"/>
    </xf>
    <xf numFmtId="3" fontId="18" fillId="4" borderId="15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9" fontId="0" fillId="0" borderId="0" xfId="1" applyFont="1"/>
    <xf numFmtId="1" fontId="0" fillId="0" borderId="0" xfId="0" applyNumberFormat="1" applyAlignment="1">
      <alignment horizontal="center" vertical="center"/>
    </xf>
    <xf numFmtId="10" fontId="0" fillId="0" borderId="0" xfId="1" applyNumberFormat="1" applyFont="1"/>
    <xf numFmtId="171" fontId="19" fillId="0" borderId="0" xfId="0" applyNumberFormat="1" applyFont="1"/>
    <xf numFmtId="164" fontId="0" fillId="0" borderId="0" xfId="1" quotePrefix="1" applyNumberFormat="1" applyFont="1"/>
    <xf numFmtId="14" fontId="3" fillId="0" borderId="3" xfId="2" applyNumberFormat="1" applyBorder="1"/>
    <xf numFmtId="3" fontId="3" fillId="0" borderId="3" xfId="2" applyNumberFormat="1" applyBorder="1"/>
    <xf numFmtId="164" fontId="0" fillId="0" borderId="12" xfId="6" applyNumberFormat="1" applyFont="1" applyBorder="1" applyAlignment="1">
      <alignment horizontal="center"/>
    </xf>
    <xf numFmtId="166" fontId="14" fillId="0" borderId="3" xfId="0" applyNumberFormat="1" applyFont="1" applyBorder="1"/>
    <xf numFmtId="164" fontId="0" fillId="0" borderId="3" xfId="1" applyNumberFormat="1" applyFont="1" applyBorder="1"/>
    <xf numFmtId="168" fontId="0" fillId="0" borderId="3" xfId="0" applyNumberFormat="1" applyBorder="1"/>
    <xf numFmtId="0" fontId="0" fillId="0" borderId="16" xfId="0" applyBorder="1"/>
    <xf numFmtId="14" fontId="3" fillId="0" borderId="16" xfId="2" applyNumberFormat="1" applyBorder="1"/>
    <xf numFmtId="3" fontId="3" fillId="0" borderId="16" xfId="2" applyNumberFormat="1" applyBorder="1"/>
    <xf numFmtId="0" fontId="3" fillId="0" borderId="16" xfId="2" applyBorder="1"/>
    <xf numFmtId="164" fontId="0" fillId="0" borderId="17" xfId="6" applyNumberFormat="1" applyFont="1" applyBorder="1" applyAlignment="1">
      <alignment horizontal="center"/>
    </xf>
    <xf numFmtId="166" fontId="14" fillId="0" borderId="16" xfId="0" applyNumberFormat="1" applyFont="1" applyBorder="1"/>
    <xf numFmtId="165" fontId="3" fillId="0" borderId="16" xfId="2" applyNumberFormat="1" applyBorder="1"/>
    <xf numFmtId="164" fontId="3" fillId="0" borderId="16" xfId="1" applyNumberFormat="1" applyFont="1" applyBorder="1"/>
    <xf numFmtId="164" fontId="0" fillId="0" borderId="16" xfId="1" applyNumberFormat="1" applyFont="1" applyBorder="1"/>
    <xf numFmtId="2" fontId="0" fillId="0" borderId="16" xfId="0" applyNumberFormat="1" applyBorder="1"/>
    <xf numFmtId="168" fontId="0" fillId="0" borderId="16" xfId="0" applyNumberFormat="1" applyBorder="1"/>
    <xf numFmtId="0" fontId="0" fillId="0" borderId="16" xfId="0" applyBorder="1" applyAlignment="1">
      <alignment horizontal="right"/>
    </xf>
    <xf numFmtId="167" fontId="0" fillId="0" borderId="16" xfId="0" applyNumberFormat="1" applyBorder="1"/>
    <xf numFmtId="171" fontId="0" fillId="0" borderId="16" xfId="0" applyNumberFormat="1" applyBorder="1" applyAlignment="1">
      <alignment horizontal="center"/>
    </xf>
    <xf numFmtId="171" fontId="0" fillId="0" borderId="16" xfId="0" applyNumberFormat="1" applyBorder="1" applyAlignment="1">
      <alignment horizontal="left"/>
    </xf>
    <xf numFmtId="171" fontId="0" fillId="0" borderId="16" xfId="0" applyNumberFormat="1" applyBorder="1"/>
    <xf numFmtId="14" fontId="0" fillId="0" borderId="16" xfId="0" applyNumberFormat="1" applyBorder="1"/>
    <xf numFmtId="0" fontId="20" fillId="4" borderId="18" xfId="0" applyFont="1" applyFill="1" applyBorder="1" applyAlignment="1">
      <alignment horizontal="right" vertical="top" wrapText="1"/>
    </xf>
    <xf numFmtId="0" fontId="20" fillId="4" borderId="20" xfId="0" applyFont="1" applyFill="1" applyBorder="1" applyAlignment="1">
      <alignment horizontal="right" vertical="top" wrapText="1"/>
    </xf>
    <xf numFmtId="0" fontId="20" fillId="4" borderId="22" xfId="0" applyFont="1" applyFill="1" applyBorder="1" applyAlignment="1">
      <alignment horizontal="right" vertical="top" wrapText="1"/>
    </xf>
    <xf numFmtId="6" fontId="20" fillId="4" borderId="19" xfId="0" applyNumberFormat="1" applyFont="1" applyFill="1" applyBorder="1" applyAlignment="1">
      <alignment horizontal="right" vertical="top" wrapText="1"/>
    </xf>
    <xf numFmtId="6" fontId="20" fillId="4" borderId="21" xfId="0" applyNumberFormat="1" applyFont="1" applyFill="1" applyBorder="1" applyAlignment="1">
      <alignment horizontal="right" vertical="top" wrapText="1"/>
    </xf>
    <xf numFmtId="6" fontId="20" fillId="4" borderId="23" xfId="0" applyNumberFormat="1" applyFont="1" applyFill="1" applyBorder="1" applyAlignment="1">
      <alignment horizontal="right" vertical="top" wrapText="1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5" fillId="9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1" fillId="0" borderId="0" xfId="3" applyFont="1" applyAlignment="1" applyProtection="1"/>
  </cellXfs>
  <cellStyles count="7">
    <cellStyle name="Hyperlink" xfId="3" builtinId="8"/>
    <cellStyle name="Normal" xfId="0" builtinId="0"/>
    <cellStyle name="Normal 2" xfId="2" xr:uid="{00000000-0005-0000-0000-000002000000}"/>
    <cellStyle name="Percent" xfId="1" builtinId="5"/>
    <cellStyle name="Percent 2" xfId="6" xr:uid="{00000000-0005-0000-0000-000004000000}"/>
    <cellStyle name="xls-style-3" xfId="5" xr:uid="{00000000-0005-0000-0000-000005000000}"/>
    <cellStyle name="xls-style-5" xfId="4" xr:uid="{00000000-0005-0000-0000-000006000000}"/>
  </cellStyles>
  <dxfs count="0"/>
  <tableStyles count="0" defaultTableStyle="TableStyleMedium9" defaultPivotStyle="PivotStyleLight16"/>
  <colors>
    <mruColors>
      <color rgb="FF004D86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72945758271073E-2"/>
          <c:y val="4.7417080631518921E-2"/>
          <c:w val="0.80320581465778418"/>
          <c:h val="0.78648022229770598"/>
        </c:manualLayout>
      </c:layout>
      <c:scatterChart>
        <c:scatterStyle val="lineMarker"/>
        <c:varyColors val="0"/>
        <c:ser>
          <c:idx val="5"/>
          <c:order val="0"/>
          <c:spPr>
            <a:ln w="76200" cap="flat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'Debt-GDP-Graph'!$B$87:$B$133</c:f>
              <c:numCache>
                <c:formatCode>m/d/yyyy</c:formatCode>
                <c:ptCount val="47"/>
                <c:pt idx="0">
                  <c:v>29859</c:v>
                </c:pt>
                <c:pt idx="1">
                  <c:v>30224</c:v>
                </c:pt>
                <c:pt idx="2">
                  <c:v>30589</c:v>
                </c:pt>
                <c:pt idx="3">
                  <c:v>30955</c:v>
                </c:pt>
                <c:pt idx="4">
                  <c:v>31320</c:v>
                </c:pt>
                <c:pt idx="5">
                  <c:v>31685</c:v>
                </c:pt>
                <c:pt idx="6">
                  <c:v>32050</c:v>
                </c:pt>
                <c:pt idx="7">
                  <c:v>32416</c:v>
                </c:pt>
                <c:pt idx="8">
                  <c:v>32780</c:v>
                </c:pt>
                <c:pt idx="9">
                  <c:v>33144</c:v>
                </c:pt>
                <c:pt idx="10">
                  <c:v>33511</c:v>
                </c:pt>
                <c:pt idx="11">
                  <c:v>33877</c:v>
                </c:pt>
                <c:pt idx="12">
                  <c:v>34242</c:v>
                </c:pt>
                <c:pt idx="13">
                  <c:v>34607</c:v>
                </c:pt>
                <c:pt idx="14">
                  <c:v>34971</c:v>
                </c:pt>
                <c:pt idx="15">
                  <c:v>35338</c:v>
                </c:pt>
                <c:pt idx="16">
                  <c:v>35703</c:v>
                </c:pt>
                <c:pt idx="17">
                  <c:v>36068</c:v>
                </c:pt>
                <c:pt idx="18">
                  <c:v>36433</c:v>
                </c:pt>
                <c:pt idx="19">
                  <c:v>36799</c:v>
                </c:pt>
                <c:pt idx="20">
                  <c:v>37164</c:v>
                </c:pt>
                <c:pt idx="21">
                  <c:v>37529</c:v>
                </c:pt>
                <c:pt idx="22">
                  <c:v>37894</c:v>
                </c:pt>
                <c:pt idx="23">
                  <c:v>38260</c:v>
                </c:pt>
                <c:pt idx="24">
                  <c:v>38625</c:v>
                </c:pt>
                <c:pt idx="25">
                  <c:v>38990</c:v>
                </c:pt>
                <c:pt idx="26">
                  <c:v>39355</c:v>
                </c:pt>
                <c:pt idx="27">
                  <c:v>39721</c:v>
                </c:pt>
                <c:pt idx="28">
                  <c:v>40086</c:v>
                </c:pt>
                <c:pt idx="29">
                  <c:v>40451</c:v>
                </c:pt>
                <c:pt idx="30">
                  <c:v>40816</c:v>
                </c:pt>
                <c:pt idx="31">
                  <c:v>41182</c:v>
                </c:pt>
                <c:pt idx="32">
                  <c:v>41547</c:v>
                </c:pt>
                <c:pt idx="33">
                  <c:v>41912</c:v>
                </c:pt>
                <c:pt idx="34">
                  <c:v>42277</c:v>
                </c:pt>
                <c:pt idx="35">
                  <c:v>42642</c:v>
                </c:pt>
                <c:pt idx="36">
                  <c:v>42733</c:v>
                </c:pt>
                <c:pt idx="37">
                  <c:v>42824</c:v>
                </c:pt>
                <c:pt idx="38">
                  <c:v>42915</c:v>
                </c:pt>
                <c:pt idx="39">
                  <c:v>43006</c:v>
                </c:pt>
                <c:pt idx="40">
                  <c:v>43097</c:v>
                </c:pt>
                <c:pt idx="41">
                  <c:v>43188</c:v>
                </c:pt>
                <c:pt idx="42">
                  <c:v>43279</c:v>
                </c:pt>
                <c:pt idx="43">
                  <c:v>43373</c:v>
                </c:pt>
                <c:pt idx="44">
                  <c:v>43464</c:v>
                </c:pt>
                <c:pt idx="45">
                  <c:v>43555</c:v>
                </c:pt>
                <c:pt idx="46">
                  <c:v>43646</c:v>
                </c:pt>
              </c:numCache>
            </c:numRef>
          </c:xVal>
          <c:yVal>
            <c:numRef>
              <c:f>'Debt-GDP-Graph'!$L$87:$L$133</c:f>
              <c:numCache>
                <c:formatCode>0.0%</c:formatCode>
                <c:ptCount val="47"/>
                <c:pt idx="0">
                  <c:v>0.32600000000000001</c:v>
                </c:pt>
                <c:pt idx="1">
                  <c:v>0.30794311770494487</c:v>
                </c:pt>
                <c:pt idx="2">
                  <c:v>0.29173973052097935</c:v>
                </c:pt>
                <c:pt idx="3">
                  <c:v>0.26066984093299478</c:v>
                </c:pt>
                <c:pt idx="4">
                  <c:v>0.24312112509330058</c:v>
                </c:pt>
                <c:pt idx="5">
                  <c:v>0.2285250471472233</c:v>
                </c:pt>
                <c:pt idx="6">
                  <c:v>0.21759635406507857</c:v>
                </c:pt>
                <c:pt idx="7">
                  <c:v>0.20202243978482429</c:v>
                </c:pt>
                <c:pt idx="8">
                  <c:v>0.18799722531132251</c:v>
                </c:pt>
                <c:pt idx="9">
                  <c:v>0.17417203347124605</c:v>
                </c:pt>
                <c:pt idx="10">
                  <c:v>0.16636785337703519</c:v>
                </c:pt>
                <c:pt idx="11">
                  <c:v>0.15923265179592708</c:v>
                </c:pt>
                <c:pt idx="12">
                  <c:v>0.15126272731313675</c:v>
                </c:pt>
                <c:pt idx="13">
                  <c:v>0.15116109452174162</c:v>
                </c:pt>
                <c:pt idx="14">
                  <c:v>0.14729177424718359</c:v>
                </c:pt>
                <c:pt idx="15">
                  <c:v>0.13869918412044074</c:v>
                </c:pt>
                <c:pt idx="16">
                  <c:v>0.11979638289617758</c:v>
                </c:pt>
                <c:pt idx="17">
                  <c:v>9.3386841782838556E-2</c:v>
                </c:pt>
                <c:pt idx="18">
                  <c:v>7.0615518702130953E-2</c:v>
                </c:pt>
                <c:pt idx="19">
                  <c:v>3.6807213387963403E-2</c:v>
                </c:pt>
                <c:pt idx="20">
                  <c:v>1.5986208210800781E-2</c:v>
                </c:pt>
                <c:pt idx="21">
                  <c:v>1.5718646195100792E-2</c:v>
                </c:pt>
                <c:pt idx="22">
                  <c:v>1.5806279454044812E-2</c:v>
                </c:pt>
                <c:pt idx="23">
                  <c:v>1.4763297764175605E-2</c:v>
                </c:pt>
                <c:pt idx="24">
                  <c:v>1.3711581798778604E-2</c:v>
                </c:pt>
                <c:pt idx="25">
                  <c:v>1.2299530518315387E-2</c:v>
                </c:pt>
                <c:pt idx="26">
                  <c:v>9.1908737711164038E-3</c:v>
                </c:pt>
                <c:pt idx="27">
                  <c:v>9.1351477049565512E-3</c:v>
                </c:pt>
                <c:pt idx="28">
                  <c:v>9.244082966734013E-3</c:v>
                </c:pt>
                <c:pt idx="29">
                  <c:v>9.2564321372651984E-2</c:v>
                </c:pt>
                <c:pt idx="30">
                  <c:v>0.14287536641444923</c:v>
                </c:pt>
                <c:pt idx="31">
                  <c:v>0.1977913298527702</c:v>
                </c:pt>
                <c:pt idx="32">
                  <c:v>0.21054520312226255</c:v>
                </c:pt>
                <c:pt idx="33">
                  <c:v>0.24353027169298505</c:v>
                </c:pt>
                <c:pt idx="34">
                  <c:v>0.23739073205622752</c:v>
                </c:pt>
                <c:pt idx="35">
                  <c:v>0.28909103045764228</c:v>
                </c:pt>
                <c:pt idx="36">
                  <c:v>0.30324865832461145</c:v>
                </c:pt>
                <c:pt idx="37">
                  <c:v>0.28928630166001545</c:v>
                </c:pt>
                <c:pt idx="38">
                  <c:v>0.2818507270088581</c:v>
                </c:pt>
                <c:pt idx="39">
                  <c:v>0.29463022092990859</c:v>
                </c:pt>
                <c:pt idx="40">
                  <c:v>0.29128309505252559</c:v>
                </c:pt>
                <c:pt idx="41">
                  <c:v>0.28710609981960455</c:v>
                </c:pt>
                <c:pt idx="42">
                  <c:v>0.28279178311607817</c:v>
                </c:pt>
                <c:pt idx="43">
                  <c:v>0.27970518775957853</c:v>
                </c:pt>
                <c:pt idx="44">
                  <c:v>0.27702418058535694</c:v>
                </c:pt>
                <c:pt idx="45">
                  <c:v>0.27443302816509713</c:v>
                </c:pt>
                <c:pt idx="46">
                  <c:v>0.271870783660418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D4-4052-B496-A25026D3D2D0}"/>
            </c:ext>
          </c:extLst>
        </c:ser>
        <c:ser>
          <c:idx val="0"/>
          <c:order val="1"/>
          <c:tx>
            <c:v>Before Reagan</c:v>
          </c:tx>
          <c:spPr>
            <a:ln w="50800" cap="flat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'Debt-GDP-Graph'!$B$35:$B$87</c:f>
              <c:numCache>
                <c:formatCode>m/d/yyyy</c:formatCode>
                <c:ptCount val="53"/>
                <c:pt idx="0">
                  <c:v>10773</c:v>
                </c:pt>
                <c:pt idx="1">
                  <c:v>11139</c:v>
                </c:pt>
                <c:pt idx="2">
                  <c:v>11504</c:v>
                </c:pt>
                <c:pt idx="3">
                  <c:v>11870</c:v>
                </c:pt>
                <c:pt idx="4">
                  <c:v>12235</c:v>
                </c:pt>
                <c:pt idx="5">
                  <c:v>12600</c:v>
                </c:pt>
                <c:pt idx="6">
                  <c:v>12964</c:v>
                </c:pt>
                <c:pt idx="7">
                  <c:v>13331</c:v>
                </c:pt>
                <c:pt idx="8">
                  <c:v>13696</c:v>
                </c:pt>
                <c:pt idx="9">
                  <c:v>14061</c:v>
                </c:pt>
                <c:pt idx="10">
                  <c:v>14426</c:v>
                </c:pt>
                <c:pt idx="11">
                  <c:v>14791</c:v>
                </c:pt>
                <c:pt idx="12">
                  <c:v>15157</c:v>
                </c:pt>
                <c:pt idx="13">
                  <c:v>15522</c:v>
                </c:pt>
                <c:pt idx="14">
                  <c:v>15887</c:v>
                </c:pt>
                <c:pt idx="15">
                  <c:v>16253</c:v>
                </c:pt>
                <c:pt idx="16">
                  <c:v>16618</c:v>
                </c:pt>
                <c:pt idx="17">
                  <c:v>16981</c:v>
                </c:pt>
                <c:pt idx="18">
                  <c:v>17348</c:v>
                </c:pt>
                <c:pt idx="19">
                  <c:v>17714</c:v>
                </c:pt>
                <c:pt idx="20">
                  <c:v>18079</c:v>
                </c:pt>
                <c:pt idx="21">
                  <c:v>18444</c:v>
                </c:pt>
                <c:pt idx="22">
                  <c:v>18808</c:v>
                </c:pt>
                <c:pt idx="23">
                  <c:v>19175</c:v>
                </c:pt>
                <c:pt idx="24">
                  <c:v>19540</c:v>
                </c:pt>
                <c:pt idx="25">
                  <c:v>19905</c:v>
                </c:pt>
                <c:pt idx="26">
                  <c:v>20270</c:v>
                </c:pt>
                <c:pt idx="27">
                  <c:v>20636</c:v>
                </c:pt>
                <c:pt idx="28">
                  <c:v>21001</c:v>
                </c:pt>
                <c:pt idx="29">
                  <c:v>21366</c:v>
                </c:pt>
                <c:pt idx="30">
                  <c:v>21731</c:v>
                </c:pt>
                <c:pt idx="31">
                  <c:v>22097</c:v>
                </c:pt>
                <c:pt idx="32">
                  <c:v>22462</c:v>
                </c:pt>
                <c:pt idx="33">
                  <c:v>22827</c:v>
                </c:pt>
                <c:pt idx="34">
                  <c:v>23192</c:v>
                </c:pt>
                <c:pt idx="35">
                  <c:v>23558</c:v>
                </c:pt>
                <c:pt idx="36">
                  <c:v>23923</c:v>
                </c:pt>
                <c:pt idx="37">
                  <c:v>24288</c:v>
                </c:pt>
                <c:pt idx="38">
                  <c:v>24653</c:v>
                </c:pt>
                <c:pt idx="39">
                  <c:v>25019</c:v>
                </c:pt>
                <c:pt idx="40">
                  <c:v>25384</c:v>
                </c:pt>
                <c:pt idx="41">
                  <c:v>25749</c:v>
                </c:pt>
                <c:pt idx="42">
                  <c:v>26114</c:v>
                </c:pt>
                <c:pt idx="43">
                  <c:v>26480</c:v>
                </c:pt>
                <c:pt idx="44">
                  <c:v>26845</c:v>
                </c:pt>
                <c:pt idx="45">
                  <c:v>27210</c:v>
                </c:pt>
                <c:pt idx="46">
                  <c:v>27575</c:v>
                </c:pt>
                <c:pt idx="47">
                  <c:v>27941</c:v>
                </c:pt>
                <c:pt idx="48">
                  <c:v>28398</c:v>
                </c:pt>
                <c:pt idx="49">
                  <c:v>28763</c:v>
                </c:pt>
                <c:pt idx="50">
                  <c:v>29128</c:v>
                </c:pt>
                <c:pt idx="51">
                  <c:v>29494</c:v>
                </c:pt>
                <c:pt idx="52">
                  <c:v>29859</c:v>
                </c:pt>
              </c:numCache>
            </c:numRef>
          </c:xVal>
          <c:yVal>
            <c:numRef>
              <c:f>'Debt-GDP-Graph'!$J$35:$J$87</c:f>
              <c:numCache>
                <c:formatCode>0.0%</c:formatCode>
                <c:ptCount val="53"/>
                <c:pt idx="0">
                  <c:v>0.16193320788955201</c:v>
                </c:pt>
                <c:pt idx="1">
                  <c:v>0.17562185146950957</c:v>
                </c:pt>
                <c:pt idx="2">
                  <c:v>0.21709606403470685</c:v>
                </c:pt>
                <c:pt idx="3">
                  <c:v>0.32739159376583449</c:v>
                </c:pt>
                <c:pt idx="4">
                  <c:v>0.39434987157766738</c:v>
                </c:pt>
                <c:pt idx="5">
                  <c:v>0.4049871469233533</c:v>
                </c:pt>
                <c:pt idx="6">
                  <c:v>0.3865908679103191</c:v>
                </c:pt>
                <c:pt idx="7">
                  <c:v>0.39819101136072144</c:v>
                </c:pt>
                <c:pt idx="8">
                  <c:v>0.39164987938335322</c:v>
                </c:pt>
                <c:pt idx="9">
                  <c:v>0.42545952371382451</c:v>
                </c:pt>
                <c:pt idx="10">
                  <c:v>0.43279998727602559</c:v>
                </c:pt>
                <c:pt idx="11">
                  <c:v>0.52400000000000002</c:v>
                </c:pt>
                <c:pt idx="12">
                  <c:v>0.504</c:v>
                </c:pt>
                <c:pt idx="13">
                  <c:v>0.54899999999999993</c:v>
                </c:pt>
                <c:pt idx="14">
                  <c:v>0.79099999999999993</c:v>
                </c:pt>
                <c:pt idx="15">
                  <c:v>0.97599999999999998</c:v>
                </c:pt>
                <c:pt idx="16">
                  <c:v>1.175</c:v>
                </c:pt>
                <c:pt idx="17">
                  <c:v>1.2170000000000001</c:v>
                </c:pt>
                <c:pt idx="18">
                  <c:v>1.103</c:v>
                </c:pt>
                <c:pt idx="19">
                  <c:v>0.9840000000000001</c:v>
                </c:pt>
                <c:pt idx="20">
                  <c:v>0.93200000000000005</c:v>
                </c:pt>
                <c:pt idx="21">
                  <c:v>0.94099999999999995</c:v>
                </c:pt>
                <c:pt idx="22">
                  <c:v>0.79599999999999993</c:v>
                </c:pt>
                <c:pt idx="23">
                  <c:v>0.74299999999999999</c:v>
                </c:pt>
                <c:pt idx="24">
                  <c:v>0.71299999999999997</c:v>
                </c:pt>
                <c:pt idx="25">
                  <c:v>0.71799999999999997</c:v>
                </c:pt>
                <c:pt idx="26">
                  <c:v>0.69499999999999995</c:v>
                </c:pt>
                <c:pt idx="27">
                  <c:v>0.63800000000000001</c:v>
                </c:pt>
                <c:pt idx="28">
                  <c:v>0.60499999999999998</c:v>
                </c:pt>
                <c:pt idx="29">
                  <c:v>0.60699999999999998</c:v>
                </c:pt>
                <c:pt idx="30">
                  <c:v>0.58499999999999996</c:v>
                </c:pt>
                <c:pt idx="31">
                  <c:v>0.56100000000000005</c:v>
                </c:pt>
                <c:pt idx="32">
                  <c:v>0.55100000000000005</c:v>
                </c:pt>
                <c:pt idx="33">
                  <c:v>0.53400000000000003</c:v>
                </c:pt>
                <c:pt idx="34">
                  <c:v>0.51800000000000002</c:v>
                </c:pt>
                <c:pt idx="35">
                  <c:v>0.49399999999999999</c:v>
                </c:pt>
                <c:pt idx="36">
                  <c:v>0.46899999999999997</c:v>
                </c:pt>
                <c:pt idx="37">
                  <c:v>0.436</c:v>
                </c:pt>
                <c:pt idx="38">
                  <c:v>0.41899999999999998</c:v>
                </c:pt>
                <c:pt idx="39">
                  <c:v>0.42499999999999999</c:v>
                </c:pt>
                <c:pt idx="40">
                  <c:v>0.38600000000000001</c:v>
                </c:pt>
                <c:pt idx="41">
                  <c:v>0.376</c:v>
                </c:pt>
                <c:pt idx="42">
                  <c:v>0.37799999999999995</c:v>
                </c:pt>
                <c:pt idx="43">
                  <c:v>0.37</c:v>
                </c:pt>
                <c:pt idx="44">
                  <c:v>0.35700000000000004</c:v>
                </c:pt>
                <c:pt idx="45">
                  <c:v>0.33600000000000002</c:v>
                </c:pt>
                <c:pt idx="46">
                  <c:v>0.34700000000000003</c:v>
                </c:pt>
                <c:pt idx="47">
                  <c:v>0.36200000000000004</c:v>
                </c:pt>
                <c:pt idx="48">
                  <c:v>0.35799999999999998</c:v>
                </c:pt>
                <c:pt idx="49">
                  <c:v>0.35</c:v>
                </c:pt>
                <c:pt idx="50">
                  <c:v>0.33200000000000002</c:v>
                </c:pt>
                <c:pt idx="51">
                  <c:v>0.33299999999999996</c:v>
                </c:pt>
                <c:pt idx="52">
                  <c:v>0.32600000000000001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D4-4052-B496-A25026D3D2D0}"/>
            </c:ext>
          </c:extLst>
        </c:ser>
        <c:ser>
          <c:idx val="1"/>
          <c:order val="2"/>
          <c:tx>
            <c:v>Reagan-Bush</c:v>
          </c:tx>
          <c:spPr>
            <a:ln w="76200" cap="flat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'Debt-GDP-Graph'!$B$87:$B$99</c:f>
              <c:numCache>
                <c:formatCode>m/d/yyyy</c:formatCode>
                <c:ptCount val="13"/>
                <c:pt idx="0">
                  <c:v>29859</c:v>
                </c:pt>
                <c:pt idx="1">
                  <c:v>30224</c:v>
                </c:pt>
                <c:pt idx="2">
                  <c:v>30589</c:v>
                </c:pt>
                <c:pt idx="3">
                  <c:v>30955</c:v>
                </c:pt>
                <c:pt idx="4">
                  <c:v>31320</c:v>
                </c:pt>
                <c:pt idx="5">
                  <c:v>31685</c:v>
                </c:pt>
                <c:pt idx="6">
                  <c:v>32050</c:v>
                </c:pt>
                <c:pt idx="7">
                  <c:v>32416</c:v>
                </c:pt>
                <c:pt idx="8">
                  <c:v>32780</c:v>
                </c:pt>
                <c:pt idx="9">
                  <c:v>33144</c:v>
                </c:pt>
                <c:pt idx="10">
                  <c:v>33511</c:v>
                </c:pt>
                <c:pt idx="11">
                  <c:v>33877</c:v>
                </c:pt>
                <c:pt idx="12">
                  <c:v>34242</c:v>
                </c:pt>
              </c:numCache>
            </c:numRef>
          </c:xVal>
          <c:yVal>
            <c:numRef>
              <c:f>'Debt-GDP-Graph'!$J$87:$J$99</c:f>
              <c:numCache>
                <c:formatCode>0.0%</c:formatCode>
                <c:ptCount val="13"/>
                <c:pt idx="0">
                  <c:v>0.32600000000000001</c:v>
                </c:pt>
                <c:pt idx="1">
                  <c:v>0.35200000000000004</c:v>
                </c:pt>
                <c:pt idx="2">
                  <c:v>0.39899999999999997</c:v>
                </c:pt>
                <c:pt idx="3">
                  <c:v>0.40700000000000003</c:v>
                </c:pt>
                <c:pt idx="4">
                  <c:v>0.439</c:v>
                </c:pt>
                <c:pt idx="5">
                  <c:v>0.48100000000000004</c:v>
                </c:pt>
                <c:pt idx="6">
                  <c:v>0.505</c:v>
                </c:pt>
                <c:pt idx="7">
                  <c:v>0.51900000000000002</c:v>
                </c:pt>
                <c:pt idx="8">
                  <c:v>0.53100000000000003</c:v>
                </c:pt>
                <c:pt idx="9">
                  <c:v>0.55899999999999994</c:v>
                </c:pt>
                <c:pt idx="10">
                  <c:v>0.60599999999999998</c:v>
                </c:pt>
                <c:pt idx="11">
                  <c:v>0.6409999999999999</c:v>
                </c:pt>
                <c:pt idx="12">
                  <c:v>0.66200000000000003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D4-4052-B496-A25026D3D2D0}"/>
            </c:ext>
          </c:extLst>
        </c:ser>
        <c:ser>
          <c:idx val="2"/>
          <c:order val="3"/>
          <c:tx>
            <c:v>Clinton</c:v>
          </c:tx>
          <c:spPr>
            <a:ln w="762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'Debt-GDP-Graph'!$B$99:$B$107</c:f>
              <c:numCache>
                <c:formatCode>m/d/yyyy</c:formatCode>
                <c:ptCount val="9"/>
                <c:pt idx="0">
                  <c:v>34242</c:v>
                </c:pt>
                <c:pt idx="1">
                  <c:v>34607</c:v>
                </c:pt>
                <c:pt idx="2">
                  <c:v>34971</c:v>
                </c:pt>
                <c:pt idx="3">
                  <c:v>35338</c:v>
                </c:pt>
                <c:pt idx="4">
                  <c:v>35703</c:v>
                </c:pt>
                <c:pt idx="5">
                  <c:v>36068</c:v>
                </c:pt>
                <c:pt idx="6">
                  <c:v>36433</c:v>
                </c:pt>
                <c:pt idx="7">
                  <c:v>36799</c:v>
                </c:pt>
                <c:pt idx="8">
                  <c:v>37164</c:v>
                </c:pt>
              </c:numCache>
            </c:numRef>
          </c:xVal>
          <c:yVal>
            <c:numRef>
              <c:f>'Debt-GDP-Graph'!$J$99:$J$107</c:f>
              <c:numCache>
                <c:formatCode>0.0%</c:formatCode>
                <c:ptCount val="9"/>
                <c:pt idx="0">
                  <c:v>0.66200000000000003</c:v>
                </c:pt>
                <c:pt idx="1">
                  <c:v>0.66700000000000004</c:v>
                </c:pt>
                <c:pt idx="2">
                  <c:v>0.67200000000000004</c:v>
                </c:pt>
                <c:pt idx="3">
                  <c:v>0.67299999999999993</c:v>
                </c:pt>
                <c:pt idx="4">
                  <c:v>0.65599999999999992</c:v>
                </c:pt>
                <c:pt idx="5">
                  <c:v>0.63500000000000001</c:v>
                </c:pt>
                <c:pt idx="6">
                  <c:v>0.61399999999999999</c:v>
                </c:pt>
                <c:pt idx="7">
                  <c:v>0.57999999999999996</c:v>
                </c:pt>
                <c:pt idx="8">
                  <c:v>0.57399999999999995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D4-4052-B496-A25026D3D2D0}"/>
            </c:ext>
          </c:extLst>
        </c:ser>
        <c:ser>
          <c:idx val="3"/>
          <c:order val="4"/>
          <c:tx>
            <c:v>Bush II</c:v>
          </c:tx>
          <c:spPr>
            <a:ln w="76200" cap="flat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'Debt-GDP-Graph'!$B$107:$B$115</c:f>
              <c:numCache>
                <c:formatCode>m/d/yyyy</c:formatCode>
                <c:ptCount val="9"/>
                <c:pt idx="0">
                  <c:v>37164</c:v>
                </c:pt>
                <c:pt idx="1">
                  <c:v>37529</c:v>
                </c:pt>
                <c:pt idx="2">
                  <c:v>37894</c:v>
                </c:pt>
                <c:pt idx="3">
                  <c:v>38260</c:v>
                </c:pt>
                <c:pt idx="4">
                  <c:v>38625</c:v>
                </c:pt>
                <c:pt idx="5">
                  <c:v>38990</c:v>
                </c:pt>
                <c:pt idx="6">
                  <c:v>39355</c:v>
                </c:pt>
                <c:pt idx="7">
                  <c:v>39721</c:v>
                </c:pt>
                <c:pt idx="8">
                  <c:v>40086</c:v>
                </c:pt>
              </c:numCache>
            </c:numRef>
          </c:xVal>
          <c:yVal>
            <c:numRef>
              <c:f>'Debt-GDP-Graph'!$J$107:$J$115</c:f>
              <c:numCache>
                <c:formatCode>0.0%</c:formatCode>
                <c:ptCount val="9"/>
                <c:pt idx="0">
                  <c:v>0.57399999999999995</c:v>
                </c:pt>
                <c:pt idx="1">
                  <c:v>0.59699999999999998</c:v>
                </c:pt>
                <c:pt idx="2">
                  <c:v>0.625</c:v>
                </c:pt>
                <c:pt idx="3">
                  <c:v>0.63900000000000001</c:v>
                </c:pt>
                <c:pt idx="4">
                  <c:v>0.64400000000000002</c:v>
                </c:pt>
                <c:pt idx="5">
                  <c:v>0.64700000000000002</c:v>
                </c:pt>
                <c:pt idx="6">
                  <c:v>0.66453816898173246</c:v>
                </c:pt>
                <c:pt idx="7">
                  <c:v>0.6820763379634649</c:v>
                </c:pt>
                <c:pt idx="8">
                  <c:v>0.82000085881084461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D4-4052-B496-A25026D3D2D0}"/>
            </c:ext>
          </c:extLst>
        </c:ser>
        <c:ser>
          <c:idx val="4"/>
          <c:order val="5"/>
          <c:tx>
            <c:v>Obama</c:v>
          </c:tx>
          <c:spPr>
            <a:ln w="762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'Debt-GDP-Graph'!$B$115:$B$126</c:f>
              <c:numCache>
                <c:formatCode>m/d/yyyy</c:formatCode>
                <c:ptCount val="12"/>
                <c:pt idx="0">
                  <c:v>40086</c:v>
                </c:pt>
                <c:pt idx="1">
                  <c:v>40451</c:v>
                </c:pt>
                <c:pt idx="2">
                  <c:v>40816</c:v>
                </c:pt>
                <c:pt idx="3">
                  <c:v>41182</c:v>
                </c:pt>
                <c:pt idx="4">
                  <c:v>41547</c:v>
                </c:pt>
                <c:pt idx="5">
                  <c:v>41912</c:v>
                </c:pt>
                <c:pt idx="6">
                  <c:v>42277</c:v>
                </c:pt>
                <c:pt idx="7">
                  <c:v>42642</c:v>
                </c:pt>
                <c:pt idx="8">
                  <c:v>42733</c:v>
                </c:pt>
                <c:pt idx="9">
                  <c:v>42824</c:v>
                </c:pt>
                <c:pt idx="10">
                  <c:v>42915</c:v>
                </c:pt>
                <c:pt idx="11">
                  <c:v>43006</c:v>
                </c:pt>
              </c:numCache>
            </c:numRef>
          </c:xVal>
          <c:yVal>
            <c:numRef>
              <c:f>'Debt-GDP-Graph'!$J$115:$J$126</c:f>
              <c:numCache>
                <c:formatCode>0.0%</c:formatCode>
                <c:ptCount val="12"/>
                <c:pt idx="0">
                  <c:v>0.82000085881084461</c:v>
                </c:pt>
                <c:pt idx="1">
                  <c:v>0.89454374038722628</c:v>
                </c:pt>
                <c:pt idx="2">
                  <c:v>0.94241074645669687</c:v>
                </c:pt>
                <c:pt idx="3">
                  <c:v>0.98517503747611834</c:v>
                </c:pt>
                <c:pt idx="4">
                  <c:v>0.98657551896673601</c:v>
                </c:pt>
                <c:pt idx="5">
                  <c:v>1.0025269145807518</c:v>
                </c:pt>
                <c:pt idx="6">
                  <c:v>0.98952637871616456</c:v>
                </c:pt>
                <c:pt idx="7">
                  <c:v>1.0362106011913423</c:v>
                </c:pt>
                <c:pt idx="8">
                  <c:v>1.0475032415777916</c:v>
                </c:pt>
                <c:pt idx="9">
                  <c:v>1.0304028105257426</c:v>
                </c:pt>
                <c:pt idx="10">
                  <c:v>1.019049159437651</c:v>
                </c:pt>
                <c:pt idx="11">
                  <c:v>1.02714103665113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D4-4052-B496-A25026D3D2D0}"/>
            </c:ext>
          </c:extLst>
        </c:ser>
        <c:ser>
          <c:idx val="6"/>
          <c:order val="6"/>
          <c:tx>
            <c:v>Obama FYs start date</c:v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'Debt-GDP-Graph'!$L$38:$L$39</c:f>
              <c:numCache>
                <c:formatCode>m/d/yyyy</c:formatCode>
                <c:ptCount val="2"/>
                <c:pt idx="0">
                  <c:v>40086</c:v>
                </c:pt>
                <c:pt idx="1">
                  <c:v>40086</c:v>
                </c:pt>
              </c:numCache>
            </c:numRef>
          </c:xVal>
          <c:yVal>
            <c:numRef>
              <c:f>'Debt-GDP-Graph'!$M$38:$M$39</c:f>
              <c:numCache>
                <c:formatCode>General</c:formatCode>
                <c:ptCount val="2"/>
                <c:pt idx="0">
                  <c:v>0.82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8A-4ED9-B9B8-1FA932C01061}"/>
            </c:ext>
          </c:extLst>
        </c:ser>
        <c:ser>
          <c:idx val="7"/>
          <c:order val="7"/>
          <c:tx>
            <c:v>Trump</c:v>
          </c:tx>
          <c:spPr>
            <a:ln w="762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'Debt-GDP-Graph'!$B$125:$B$133</c:f>
              <c:numCache>
                <c:formatCode>m/d/yyyy</c:formatCode>
                <c:ptCount val="9"/>
                <c:pt idx="0">
                  <c:v>42915</c:v>
                </c:pt>
                <c:pt idx="1">
                  <c:v>43006</c:v>
                </c:pt>
                <c:pt idx="2">
                  <c:v>43097</c:v>
                </c:pt>
                <c:pt idx="3">
                  <c:v>43188</c:v>
                </c:pt>
                <c:pt idx="4">
                  <c:v>43279</c:v>
                </c:pt>
                <c:pt idx="5">
                  <c:v>43373</c:v>
                </c:pt>
                <c:pt idx="6">
                  <c:v>43464</c:v>
                </c:pt>
                <c:pt idx="7">
                  <c:v>43555</c:v>
                </c:pt>
                <c:pt idx="8">
                  <c:v>43646</c:v>
                </c:pt>
              </c:numCache>
            </c:numRef>
          </c:xVal>
          <c:yVal>
            <c:numRef>
              <c:f>'Debt-GDP-Graph'!$J$125:$J$133</c:f>
              <c:numCache>
                <c:formatCode>0.0%</c:formatCode>
                <c:ptCount val="9"/>
                <c:pt idx="0">
                  <c:v>1.019049159437651</c:v>
                </c:pt>
                <c:pt idx="1">
                  <c:v>1.02714103665113</c:v>
                </c:pt>
                <c:pt idx="2">
                  <c:v>1.0279041093596408</c:v>
                </c:pt>
                <c:pt idx="3">
                  <c:v>1.0426746136493066</c:v>
                </c:pt>
                <c:pt idx="4">
                  <c:v>1.0321404226119189</c:v>
                </c:pt>
                <c:pt idx="5">
                  <c:v>1.0407133097732302</c:v>
                </c:pt>
                <c:pt idx="6">
                  <c:v>1.048252347396704</c:v>
                </c:pt>
                <c:pt idx="7">
                  <c:v>1.0409809504373342</c:v>
                </c:pt>
                <c:pt idx="8">
                  <c:v>1.0310475254202927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B8-41B5-B401-08E8EABF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541056"/>
        <c:axId val="152543232"/>
      </c:scatterChart>
      <c:valAx>
        <c:axId val="152541056"/>
        <c:scaling>
          <c:orientation val="minMax"/>
          <c:max val="44200"/>
          <c:min val="14794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52543232"/>
        <c:crosses val="autoZero"/>
        <c:crossBetween val="midCat"/>
        <c:majorUnit val="3652.5"/>
      </c:valAx>
      <c:valAx>
        <c:axId val="152543232"/>
        <c:scaling>
          <c:orientation val="minMax"/>
          <c:max val="1.2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5254105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959692</xdr:colOff>
      <xdr:row>11</xdr:row>
      <xdr:rowOff>28381</xdr:rowOff>
    </xdr:from>
    <xdr:to>
      <xdr:col>14</xdr:col>
      <xdr:colOff>14189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0.9141</cdr:x>
      <cdr:y>0.15102</cdr:y>
    </cdr:from>
    <cdr:to>
      <cdr:x>0.9148</cdr:x>
      <cdr:y>0.65415</cdr:y>
    </cdr:to>
    <cdr:sp macro="" textlink="">
      <cdr:nvSpPr>
        <cdr:cNvPr id="18" name="Straight Arrow Connector 17"/>
        <cdr:cNvSpPr/>
      </cdr:nvSpPr>
      <cdr:spPr>
        <a:xfrm xmlns:a="http://schemas.openxmlformats.org/drawingml/2006/main">
          <a:off x="5874794" y="573984"/>
          <a:ext cx="4464" cy="191223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38100" cap="flat" cmpd="sng" algn="ctr">
          <a:solidFill>
            <a:srgbClr val="FF0000"/>
          </a:solidFill>
          <a:prstDash val="solid"/>
          <a:headEnd type="arrow"/>
          <a:tailEnd type="oval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0.35606</cdr:x>
      <cdr:y>0.17462</cdr:y>
    </cdr:from>
    <cdr:to>
      <cdr:x>0.61831</cdr:x>
      <cdr:y>0.25667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2288333" y="628710"/>
          <a:ext cx="1685470" cy="295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0.16081</cdr:x>
      <cdr:y>0.725</cdr:y>
    </cdr:from>
    <cdr:to>
      <cdr:x>0.51259</cdr:x>
      <cdr:y>0.77459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1031033" y="2505360"/>
          <a:ext cx="2255520" cy="1713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0.18695</cdr:x>
      <cdr:y>0.02266</cdr:y>
    </cdr:from>
    <cdr:to>
      <cdr:x>0.7903</cdr:x>
      <cdr:y>0.17865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1498" y="81586"/>
          <a:ext cx="3877659" cy="5616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800" b="1"/>
            <a:t>Gross National</a:t>
          </a:r>
          <a:r>
            <a:rPr lang="en-US" sz="1800" b="1" baseline="0"/>
            <a:t> Debt  as % of GDP</a:t>
          </a:r>
        </a:p>
        <a:p xmlns:a="http://schemas.openxmlformats.org/drawingml/2006/main">
          <a:pPr algn="ctr"/>
          <a:r>
            <a:rPr lang="en-US" sz="1300" b="1" baseline="0">
              <a:solidFill>
                <a:schemeClr val="tx1">
                  <a:lumMod val="65000"/>
                  <a:lumOff val="35000"/>
                </a:schemeClr>
              </a:solidFill>
            </a:rPr>
            <a:t>1940 ‒ 2007 data is from Bush's WhiteHouse.Gov</a:t>
          </a:r>
        </a:p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July 1, 2019</a:t>
          </a:r>
        </a:p>
      </cdr:txBody>
    </cdr:sp>
  </cdr:relSizeAnchor>
  <cdr:relSizeAnchor xmlns:cdr="http://schemas.openxmlformats.org/drawingml/2006/chartDrawing">
    <cdr:from>
      <cdr:x>0.3665</cdr:x>
      <cdr:y>0.31667</cdr:y>
    </cdr:from>
    <cdr:to>
      <cdr:x>0.56378</cdr:x>
      <cdr:y>0.47392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355442" y="1203542"/>
          <a:ext cx="1267889" cy="5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Supply</a:t>
          </a:r>
          <a:r>
            <a:rPr lang="en-US" sz="1400" b="1" baseline="0">
              <a:solidFill>
                <a:sysClr val="windowText" lastClr="000000"/>
              </a:solidFill>
            </a:rPr>
            <a:t> Siders</a:t>
          </a:r>
        </a:p>
        <a:p xmlns:a="http://schemas.openxmlformats.org/drawingml/2006/main">
          <a:r>
            <a:rPr lang="en-US" sz="1400" b="1" baseline="0">
              <a:solidFill>
                <a:sysClr val="windowText" lastClr="000000"/>
              </a:solidFill>
            </a:rPr>
            <a:t>Start </a:t>
          </a:r>
          <a:r>
            <a:rPr lang="en-US" sz="1500" b="1" baseline="0">
              <a:solidFill>
                <a:sysClr val="windowText" lastClr="000000"/>
              </a:solidFill>
            </a:rPr>
            <a:t>Voodoo</a:t>
          </a:r>
          <a:endParaRPr lang="en-US" sz="15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0.59053</cdr:x>
      <cdr:y>0.50726</cdr:y>
    </cdr:from>
    <cdr:to>
      <cdr:x>0.70879</cdr:x>
      <cdr:y>0.62896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95234" y="1927943"/>
          <a:ext cx="760050" cy="4625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500" b="1">
              <a:solidFill>
                <a:srgbClr val="C00000"/>
              </a:solidFill>
            </a:rPr>
            <a:t>Reagan</a:t>
          </a:r>
        </a:p>
        <a:p xmlns:a="http://schemas.openxmlformats.org/drawingml/2006/main">
          <a:pPr algn="l"/>
          <a:r>
            <a:rPr lang="en-US" sz="1500" b="1">
              <a:solidFill>
                <a:srgbClr val="C00000"/>
              </a:solidFill>
            </a:rPr>
            <a:t>Bush I</a:t>
          </a:r>
        </a:p>
      </cdr:txBody>
    </cdr:sp>
  </cdr:relSizeAnchor>
  <cdr:relSizeAnchor xmlns:cdr="http://schemas.openxmlformats.org/drawingml/2006/chartDrawing">
    <cdr:from>
      <cdr:x>0.5647</cdr:x>
      <cdr:y>0.25068</cdr:y>
    </cdr:from>
    <cdr:to>
      <cdr:x>0.6801</cdr:x>
      <cdr:y>0.30847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29261" y="952764"/>
          <a:ext cx="741658" cy="2196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500" b="1">
              <a:solidFill>
                <a:srgbClr val="004D86"/>
              </a:solidFill>
            </a:rPr>
            <a:t>Clinton</a:t>
          </a:r>
        </a:p>
      </cdr:txBody>
    </cdr:sp>
  </cdr:relSizeAnchor>
  <cdr:relSizeAnchor xmlns:cdr="http://schemas.openxmlformats.org/drawingml/2006/chartDrawing">
    <cdr:from>
      <cdr:x>0.65064</cdr:x>
      <cdr:y>0.30321</cdr:y>
    </cdr:from>
    <cdr:to>
      <cdr:x>0.65064</cdr:x>
      <cdr:y>0.38814</cdr:y>
    </cdr:to>
    <cdr:sp macro="" textlink="">
      <cdr:nvSpPr>
        <cdr:cNvPr id="10" name="Straight Arrow Connector 9"/>
        <cdr:cNvSpPr/>
      </cdr:nvSpPr>
      <cdr:spPr>
        <a:xfrm xmlns:a="http://schemas.openxmlformats.org/drawingml/2006/main" flipV="1">
          <a:off x="4181595" y="1152390"/>
          <a:ext cx="0" cy="322790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4D86"/>
          </a:solidFill>
          <a:headEnd type="arrow"/>
          <a:tailEnd type="none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endParaRPr lang="en-US"/>
        </a:p>
      </cdr:txBody>
    </cdr:sp>
  </cdr:relSizeAnchor>
  <cdr:relSizeAnchor xmlns:cdr="http://schemas.openxmlformats.org/drawingml/2006/chartDrawing">
    <cdr:from>
      <cdr:x>0.66871</cdr:x>
      <cdr:y>0.33667</cdr:y>
    </cdr:from>
    <cdr:to>
      <cdr:x>0.77389</cdr:x>
      <cdr:y>0.40103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297719" y="1279577"/>
          <a:ext cx="675976" cy="2446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500" b="1">
              <a:solidFill>
                <a:srgbClr val="C00000"/>
              </a:solidFill>
            </a:rPr>
            <a:t>Bush II</a:t>
          </a:r>
        </a:p>
      </cdr:txBody>
    </cdr:sp>
  </cdr:relSizeAnchor>
  <cdr:relSizeAnchor xmlns:cdr="http://schemas.openxmlformats.org/drawingml/2006/chartDrawing">
    <cdr:from>
      <cdr:x>0.67762</cdr:x>
      <cdr:y>0.19938</cdr:y>
    </cdr:from>
    <cdr:to>
      <cdr:x>0.79301</cdr:x>
      <cdr:y>0.25577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354943" y="757792"/>
          <a:ext cx="741594" cy="2143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500" b="1">
              <a:solidFill>
                <a:srgbClr val="004D86"/>
              </a:solidFill>
            </a:rPr>
            <a:t>Obama</a:t>
          </a:r>
        </a:p>
      </cdr:txBody>
    </cdr:sp>
  </cdr:relSizeAnchor>
  <cdr:relSizeAnchor xmlns:cdr="http://schemas.openxmlformats.org/drawingml/2006/chartDrawing">
    <cdr:from>
      <cdr:x>0.09405</cdr:x>
      <cdr:y>0.23828</cdr:y>
    </cdr:from>
    <cdr:to>
      <cdr:x>0.18053</cdr:x>
      <cdr:y>0.32028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82267" y="875523"/>
          <a:ext cx="535462" cy="3013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36576" tIns="36576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500" b="1">
              <a:solidFill>
                <a:schemeClr val="tx1"/>
              </a:solidFill>
            </a:rPr>
            <a:t>WWII</a:t>
          </a:r>
        </a:p>
      </cdr:txBody>
    </cdr:sp>
  </cdr:relSizeAnchor>
  <cdr:relSizeAnchor xmlns:cdr="http://schemas.openxmlformats.org/drawingml/2006/chartDrawing">
    <cdr:from>
      <cdr:x>0.84061</cdr:x>
      <cdr:y>0.31077</cdr:y>
    </cdr:from>
    <cdr:to>
      <cdr:x>0.98442</cdr:x>
      <cdr:y>0.56602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5402472" y="1181130"/>
          <a:ext cx="924245" cy="9701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27432" tIns="0" rIns="27432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$14 Trillion "Voodoo"</a:t>
          </a:r>
        </a:p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National</a:t>
          </a:r>
        </a:p>
        <a:p xmlns:a="http://schemas.openxmlformats.org/drawingml/2006/main">
          <a:pPr algn="ctr"/>
          <a:r>
            <a:rPr lang="en-US" sz="1400" b="1">
              <a:solidFill>
                <a:srgbClr val="C00000"/>
              </a:solidFill>
            </a:rPr>
            <a:t>Debt</a:t>
          </a:r>
        </a:p>
      </cdr:txBody>
    </cdr:sp>
  </cdr:relSizeAnchor>
  <cdr:relSizeAnchor xmlns:cdr="http://schemas.openxmlformats.org/drawingml/2006/chartDrawing">
    <cdr:from>
      <cdr:x>0.47696</cdr:x>
      <cdr:y>0.44855</cdr:y>
    </cdr:from>
    <cdr:to>
      <cdr:x>0.50549</cdr:x>
      <cdr:y>0.60511</cdr:y>
    </cdr:to>
    <cdr:sp macro="" textlink="">
      <cdr:nvSpPr>
        <cdr:cNvPr id="23" name="Straight Arrow Connector 22"/>
        <cdr:cNvSpPr/>
      </cdr:nvSpPr>
      <cdr:spPr>
        <a:xfrm xmlns:a="http://schemas.openxmlformats.org/drawingml/2006/main" flipH="1" flipV="1">
          <a:off x="3065371" y="1704775"/>
          <a:ext cx="183358" cy="595032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headEnd type="arrow"/>
          <a:tailEnd type="none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endParaRPr lang="en-US"/>
        </a:p>
      </cdr:txBody>
    </cdr:sp>
  </cdr:relSizeAnchor>
  <cdr:relSizeAnchor xmlns:cdr="http://schemas.openxmlformats.org/drawingml/2006/chartDrawing">
    <cdr:from>
      <cdr:x>0.00777</cdr:x>
      <cdr:y>0.92231</cdr:y>
    </cdr:from>
    <cdr:to>
      <cdr:x>0.99186</cdr:x>
      <cdr:y>0.98998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49958" y="3505393"/>
          <a:ext cx="6324600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500" b="1" baseline="0">
              <a:solidFill>
                <a:sysClr val="windowText" lastClr="000000"/>
              </a:solidFill>
              <a:effectLst/>
              <a:latin typeface="Calibri"/>
              <a:ea typeface="+mn-ea"/>
              <a:cs typeface="+mn-cs"/>
            </a:rPr>
            <a:t>Discussion at:    </a:t>
          </a:r>
          <a:r>
            <a:rPr lang="en-US" sz="1500" b="1" baseline="0">
              <a:solidFill>
                <a:srgbClr val="C00000"/>
              </a:solidFill>
              <a:effectLst/>
              <a:latin typeface="Calibri"/>
              <a:ea typeface="+mn-ea"/>
              <a:cs typeface="+mn-cs"/>
            </a:rPr>
            <a:t>z</a:t>
          </a:r>
          <a:r>
            <a:rPr lang="en-US" sz="1500" b="1" baseline="0">
              <a:effectLst/>
              <a:latin typeface="Calibri"/>
              <a:ea typeface="+mn-ea"/>
              <a:cs typeface="+mn-cs"/>
            </a:rPr>
            <a:t>Facts.com/national-debt</a:t>
          </a:r>
          <a:endParaRPr lang="en-US" sz="15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0.85101</cdr:x>
      <cdr:y>0.08396</cdr:y>
    </cdr:from>
    <cdr:to>
      <cdr:x>0.95619</cdr:x>
      <cdr:y>0.14832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096028F4-DEEA-4E34-9058-AA6A710EA435}"/>
            </a:ext>
          </a:extLst>
        </cdr:cNvPr>
        <cdr:cNvSpPr txBox="1"/>
      </cdr:nvSpPr>
      <cdr:spPr>
        <a:xfrm xmlns:a="http://schemas.openxmlformats.org/drawingml/2006/main">
          <a:off x="5469294" y="302276"/>
          <a:ext cx="675976" cy="2317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36576" tIns="0" rIns="1828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500" b="1">
              <a:solidFill>
                <a:srgbClr val="C00000"/>
              </a:solidFill>
            </a:rPr>
            <a:t>Trump</a:t>
          </a:r>
        </a:p>
      </cdr:txBody>
    </cdr:sp>
  </cdr:relSizeAnchor>
  <cdr:relSizeAnchor xmlns:cdr="http://schemas.openxmlformats.org/drawingml/2006/chartDrawing">
    <cdr:from>
      <cdr:x>0.15044</cdr:x>
      <cdr:y>0.66904</cdr:y>
    </cdr:from>
    <cdr:to>
      <cdr:x>0.53437</cdr:x>
      <cdr:y>0.77445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66826" y="2542804"/>
          <a:ext cx="2467460" cy="4006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lIns="64008" tIns="0" rIns="64008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>
            <a:lnSpc>
              <a:spcPct val="80000"/>
            </a:lnSpc>
          </a:pPr>
          <a:r>
            <a:rPr lang="en-US" sz="1400" b="1" spc="30" baseline="0">
              <a:solidFill>
                <a:srgbClr val="00823B"/>
              </a:solidFill>
            </a:rPr>
            <a:t>If Reagan, Bushes &amp; Trump</a:t>
          </a:r>
        </a:p>
        <a:p xmlns:a="http://schemas.openxmlformats.org/drawingml/2006/main">
          <a:pPr algn="l">
            <a:lnSpc>
              <a:spcPct val="80000"/>
            </a:lnSpc>
          </a:pPr>
          <a:r>
            <a:rPr lang="en-US" sz="1400" b="1" spc="30" baseline="0">
              <a:solidFill>
                <a:srgbClr val="00823B"/>
              </a:solidFill>
            </a:rPr>
            <a:t>had balanced their budgets</a:t>
          </a:r>
        </a:p>
      </cdr:txBody>
    </cdr:sp>
  </cdr:relSizeAnchor>
  <cdr:relSizeAnchor xmlns:cdr="http://schemas.openxmlformats.org/drawingml/2006/chartDrawing">
    <cdr:from>
      <cdr:x>0.49834</cdr:x>
      <cdr:y>0.72647</cdr:y>
    </cdr:from>
    <cdr:to>
      <cdr:x>0.59022</cdr:x>
      <cdr:y>0.7385</cdr:y>
    </cdr:to>
    <cdr:sp macro="" textlink="">
      <cdr:nvSpPr>
        <cdr:cNvPr id="19" name="Straight Arrow Connector 18"/>
        <cdr:cNvSpPr/>
      </cdr:nvSpPr>
      <cdr:spPr>
        <a:xfrm xmlns:a="http://schemas.openxmlformats.org/drawingml/2006/main" flipV="1">
          <a:off x="3202733" y="2761077"/>
          <a:ext cx="590550" cy="45719"/>
        </a:xfrm>
        <a:prstGeom xmlns:a="http://schemas.openxmlformats.org/drawingml/2006/main" prst="straightConnector1">
          <a:avLst/>
        </a:prstGeom>
        <a:ln xmlns:a="http://schemas.openxmlformats.org/drawingml/2006/main" w="50800">
          <a:solidFill>
            <a:srgbClr val="00B050"/>
          </a:solidFill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Steven Stoft" id="{05B86E21-5F8B-402D-A872-A9CE8A97A289}" userId="97e14aa9d8564a2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22" dT="2019-07-12T01:51:33.53" personId="{05B86E21-5F8B-402D-A872-A9CE8A97A289}" id="{31C1A1AF-3012-4274-8497-7F9AB9E028EE}">
    <text>This means Interest is the cause of the continuing increase under Obama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ed.stlouisfed.org/series/GDP" TargetMode="External"/><Relationship Id="rId1" Type="http://schemas.openxmlformats.org/officeDocument/2006/relationships/hyperlink" Target="https://fred.stlouisfed.org/series/GDP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reasurydirect.gov/govt/reports/pd/pd_debttothepenny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treasurydirect.gov/govt/reports/ir/ir_expense.ht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treasurydirect.gov/govt/reports/pd/pd_debttothepenny.htm" TargetMode="External"/><Relationship Id="rId1" Type="http://schemas.openxmlformats.org/officeDocument/2006/relationships/hyperlink" Target="http://www.treasurydirect.gov/govt/reports/ir/ir_expense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zfacts.com/national-debt/" TargetMode="External"/><Relationship Id="rId9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scal.treasury.gov/fsreports/rpt/mthTreasStmt/mts1215.pdf" TargetMode="External"/><Relationship Id="rId2" Type="http://schemas.openxmlformats.org/officeDocument/2006/relationships/hyperlink" Target="https://www.fiscal.treasury.gov/fsreports/rpt/mthTreasStmt/mts1215.pdf" TargetMode="External"/><Relationship Id="rId1" Type="http://schemas.openxmlformats.org/officeDocument/2006/relationships/hyperlink" Target="https://www.thebalance.com/who-owns-the-u-s-national-debt-3306124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2"/>
  <sheetViews>
    <sheetView topLeftCell="A259" workbookViewId="0">
      <selection activeCell="L285" sqref="L285"/>
    </sheetView>
  </sheetViews>
  <sheetFormatPr defaultColWidth="12" defaultRowHeight="15" x14ac:dyDescent="0.25"/>
  <cols>
    <col min="1" max="1" width="12" style="16"/>
    <col min="2" max="3" width="12" style="46"/>
    <col min="4" max="4" width="12" style="16"/>
    <col min="5" max="5" width="12" style="46"/>
  </cols>
  <sheetData>
    <row r="1" spans="1:9" x14ac:dyDescent="0.25">
      <c r="A1" s="16" t="s">
        <v>56</v>
      </c>
      <c r="D1" s="16" t="s">
        <v>8</v>
      </c>
      <c r="H1" t="s">
        <v>176</v>
      </c>
    </row>
    <row r="2" spans="1:9" x14ac:dyDescent="0.25">
      <c r="A2" s="16" t="s">
        <v>11</v>
      </c>
      <c r="B2" s="46" t="s">
        <v>59</v>
      </c>
      <c r="D2" s="16" t="s">
        <v>11</v>
      </c>
      <c r="E2" s="46" t="s">
        <v>59</v>
      </c>
    </row>
    <row r="3" spans="1:9" x14ac:dyDescent="0.25">
      <c r="A3" s="16" t="s">
        <v>60</v>
      </c>
      <c r="B3" s="46" t="s">
        <v>58</v>
      </c>
      <c r="D3" s="16" t="s">
        <v>13</v>
      </c>
      <c r="E3" s="46" t="s">
        <v>12</v>
      </c>
      <c r="H3" t="s">
        <v>174</v>
      </c>
    </row>
    <row r="4" spans="1:9" x14ac:dyDescent="0.25">
      <c r="A4" s="16">
        <v>1</v>
      </c>
      <c r="B4" s="46" t="s">
        <v>183</v>
      </c>
      <c r="D4" s="16">
        <v>1</v>
      </c>
      <c r="E4" s="46" t="s">
        <v>184</v>
      </c>
      <c r="H4" t="s">
        <v>175</v>
      </c>
    </row>
    <row r="5" spans="1:9" x14ac:dyDescent="0.25">
      <c r="A5" s="17" t="s">
        <v>57</v>
      </c>
      <c r="D5" s="17" t="s">
        <v>57</v>
      </c>
    </row>
    <row r="6" spans="1:9" x14ac:dyDescent="0.25">
      <c r="A6" s="16" t="s">
        <v>182</v>
      </c>
      <c r="D6" s="16" t="s">
        <v>182</v>
      </c>
      <c r="H6" t="s">
        <v>172</v>
      </c>
    </row>
    <row r="7" spans="1:9" x14ac:dyDescent="0.25">
      <c r="A7" s="16" t="s">
        <v>14</v>
      </c>
      <c r="B7" s="49" t="s">
        <v>15</v>
      </c>
      <c r="D7" s="16" t="s">
        <v>14</v>
      </c>
      <c r="E7" s="46" t="s">
        <v>15</v>
      </c>
    </row>
    <row r="8" spans="1:9" x14ac:dyDescent="0.25">
      <c r="A8" s="16">
        <v>10594</v>
      </c>
      <c r="B8" s="49">
        <v>104.556</v>
      </c>
      <c r="C8" s="47"/>
      <c r="D8" s="16">
        <v>17168</v>
      </c>
      <c r="E8" s="46">
        <v>243.16399999999999</v>
      </c>
      <c r="F8" t="s">
        <v>109</v>
      </c>
    </row>
    <row r="9" spans="1:9" x14ac:dyDescent="0.25">
      <c r="A9" s="16">
        <v>10959</v>
      </c>
      <c r="B9" s="49">
        <v>92.16</v>
      </c>
      <c r="C9" s="47"/>
      <c r="D9" s="16">
        <v>17258</v>
      </c>
      <c r="E9" s="46">
        <v>245.96799999999999</v>
      </c>
      <c r="F9" t="s">
        <v>110</v>
      </c>
    </row>
    <row r="10" spans="1:9" x14ac:dyDescent="0.25">
      <c r="A10" s="16">
        <v>11324</v>
      </c>
      <c r="B10" s="49">
        <v>77.391000000000005</v>
      </c>
      <c r="C10" s="47"/>
      <c r="D10" s="16">
        <v>17349</v>
      </c>
      <c r="E10" s="46">
        <v>249.58500000000001</v>
      </c>
    </row>
    <row r="11" spans="1:9" x14ac:dyDescent="0.25">
      <c r="A11" s="16">
        <v>11689</v>
      </c>
      <c r="B11" s="49">
        <v>59.521999999999998</v>
      </c>
      <c r="C11" s="47"/>
      <c r="D11" s="16">
        <v>17441</v>
      </c>
      <c r="E11" s="46">
        <v>259.745</v>
      </c>
    </row>
    <row r="12" spans="1:9" x14ac:dyDescent="0.25">
      <c r="A12" s="16">
        <v>12055</v>
      </c>
      <c r="B12" s="49">
        <v>57.154000000000003</v>
      </c>
      <c r="C12" s="47"/>
      <c r="D12" s="16">
        <v>17533</v>
      </c>
      <c r="E12" s="46">
        <v>265.74200000000002</v>
      </c>
      <c r="G12">
        <f>130</f>
        <v>130</v>
      </c>
      <c r="H12" s="15">
        <f>INDEX(D$1:D$999,$G12)+91</f>
        <v>28398</v>
      </c>
      <c r="I12" s="46">
        <f>INDEX(F$1:F$999,$G12)</f>
        <v>2141.3715000000002</v>
      </c>
    </row>
    <row r="13" spans="1:9" x14ac:dyDescent="0.25">
      <c r="A13" s="16">
        <v>12420</v>
      </c>
      <c r="B13" s="49">
        <v>66.8</v>
      </c>
      <c r="C13" s="47"/>
      <c r="D13" s="16">
        <v>17624</v>
      </c>
      <c r="E13" s="46">
        <v>272.56700000000001</v>
      </c>
      <c r="G13">
        <f>G12+4</f>
        <v>134</v>
      </c>
      <c r="H13" s="15">
        <f t="shared" ref="H13:H26" si="0">INDEX(D$1:D$999,$G13)+91</f>
        <v>28763</v>
      </c>
      <c r="I13" s="46">
        <f>INDEX(F$1:F$999,$G13)</f>
        <v>2436.0010000000002</v>
      </c>
    </row>
    <row r="14" spans="1:9" x14ac:dyDescent="0.25">
      <c r="A14" s="16">
        <v>12785</v>
      </c>
      <c r="B14" s="49">
        <v>74.241</v>
      </c>
      <c r="C14" s="47"/>
      <c r="D14" s="16">
        <v>17715</v>
      </c>
      <c r="E14" s="46">
        <v>279.19600000000003</v>
      </c>
      <c r="G14">
        <f t="shared" ref="G14:G26" si="1">G13+4</f>
        <v>138</v>
      </c>
      <c r="H14" s="15">
        <f t="shared" si="0"/>
        <v>29128</v>
      </c>
      <c r="I14" s="46">
        <f t="shared" ref="I14:I26" si="2">INDEX(F$1:F$999,$G14)</f>
        <v>2695.7240000000002</v>
      </c>
    </row>
    <row r="15" spans="1:9" x14ac:dyDescent="0.25">
      <c r="A15" s="16">
        <v>13150</v>
      </c>
      <c r="B15" s="49">
        <v>84.83</v>
      </c>
      <c r="C15" s="47"/>
      <c r="D15" s="16">
        <v>17807</v>
      </c>
      <c r="E15" s="46">
        <v>280.36599999999999</v>
      </c>
      <c r="G15">
        <f t="shared" si="1"/>
        <v>142</v>
      </c>
      <c r="H15" s="15">
        <f t="shared" si="0"/>
        <v>29494</v>
      </c>
      <c r="I15" s="46">
        <f t="shared" si="2"/>
        <v>2921.02</v>
      </c>
    </row>
    <row r="16" spans="1:9" x14ac:dyDescent="0.25">
      <c r="A16" s="16">
        <v>13516</v>
      </c>
      <c r="B16" s="49">
        <v>93.003</v>
      </c>
      <c r="C16" s="47"/>
      <c r="D16" s="16">
        <v>17899</v>
      </c>
      <c r="E16" s="46">
        <v>275.03399999999999</v>
      </c>
      <c r="G16">
        <f t="shared" si="1"/>
        <v>146</v>
      </c>
      <c r="H16" s="15">
        <f t="shared" si="0"/>
        <v>29859</v>
      </c>
      <c r="I16" s="46">
        <f t="shared" si="2"/>
        <v>3270.7134999999998</v>
      </c>
    </row>
    <row r="17" spans="1:9" x14ac:dyDescent="0.25">
      <c r="A17" s="16">
        <v>13881</v>
      </c>
      <c r="B17" s="49">
        <v>87.352000000000004</v>
      </c>
      <c r="C17" s="47"/>
      <c r="D17" s="16">
        <v>17989</v>
      </c>
      <c r="E17" s="46">
        <v>271.351</v>
      </c>
      <c r="G17">
        <f t="shared" si="1"/>
        <v>150</v>
      </c>
      <c r="H17" s="15">
        <f t="shared" si="0"/>
        <v>30224</v>
      </c>
      <c r="I17" s="46">
        <f t="shared" si="2"/>
        <v>3384.4414999999999</v>
      </c>
    </row>
    <row r="18" spans="1:9" x14ac:dyDescent="0.25">
      <c r="A18" s="16">
        <v>14246</v>
      </c>
      <c r="B18" s="49">
        <v>93.436999999999998</v>
      </c>
      <c r="C18" s="47"/>
      <c r="D18" s="16">
        <v>18080</v>
      </c>
      <c r="E18" s="46">
        <v>272.88900000000001</v>
      </c>
      <c r="G18">
        <f t="shared" si="1"/>
        <v>154</v>
      </c>
      <c r="H18" s="15">
        <f t="shared" si="0"/>
        <v>30589</v>
      </c>
      <c r="I18" s="46">
        <f t="shared" si="2"/>
        <v>3741.9425000000001</v>
      </c>
    </row>
    <row r="19" spans="1:9" x14ac:dyDescent="0.25">
      <c r="A19" s="16">
        <v>14611</v>
      </c>
      <c r="B19" s="49">
        <v>102.899</v>
      </c>
      <c r="C19" s="47"/>
      <c r="D19" s="16">
        <v>18172</v>
      </c>
      <c r="E19" s="46">
        <v>270.62700000000001</v>
      </c>
      <c r="G19">
        <f t="shared" si="1"/>
        <v>158</v>
      </c>
      <c r="H19" s="15">
        <f t="shared" si="0"/>
        <v>30955</v>
      </c>
      <c r="I19" s="46">
        <f t="shared" si="2"/>
        <v>4116.4004999999997</v>
      </c>
    </row>
    <row r="20" spans="1:9" x14ac:dyDescent="0.25">
      <c r="A20" s="16">
        <v>14977</v>
      </c>
      <c r="B20" s="49">
        <v>129.309</v>
      </c>
      <c r="C20" s="47"/>
      <c r="D20" s="16">
        <v>18264</v>
      </c>
      <c r="E20" s="46">
        <v>280.82799999999997</v>
      </c>
      <c r="G20">
        <f t="shared" si="1"/>
        <v>162</v>
      </c>
      <c r="H20" s="15">
        <f t="shared" si="0"/>
        <v>31320</v>
      </c>
      <c r="I20" s="46">
        <f t="shared" si="2"/>
        <v>4415.4335000000001</v>
      </c>
    </row>
    <row r="21" spans="1:9" x14ac:dyDescent="0.25">
      <c r="A21" s="16">
        <v>15342</v>
      </c>
      <c r="B21" s="49">
        <v>165.952</v>
      </c>
      <c r="C21" s="47"/>
      <c r="D21" s="16">
        <v>18354</v>
      </c>
      <c r="E21" s="46">
        <v>290.38299999999998</v>
      </c>
      <c r="G21">
        <f t="shared" si="1"/>
        <v>166</v>
      </c>
      <c r="H21" s="15">
        <f t="shared" si="0"/>
        <v>31685</v>
      </c>
      <c r="I21" s="46">
        <f t="shared" si="2"/>
        <v>4632.6480000000001</v>
      </c>
    </row>
    <row r="22" spans="1:9" x14ac:dyDescent="0.25">
      <c r="A22" s="16">
        <v>15707</v>
      </c>
      <c r="B22" s="49">
        <v>203.084</v>
      </c>
      <c r="C22" s="47"/>
      <c r="D22" s="16">
        <v>18445</v>
      </c>
      <c r="E22" s="46">
        <v>308.15300000000002</v>
      </c>
      <c r="G22">
        <f t="shared" si="1"/>
        <v>170</v>
      </c>
      <c r="H22" s="15">
        <f t="shared" si="0"/>
        <v>32050</v>
      </c>
      <c r="I22" s="46">
        <f t="shared" si="2"/>
        <v>4946.2744999999995</v>
      </c>
    </row>
    <row r="23" spans="1:9" x14ac:dyDescent="0.25">
      <c r="A23" s="16">
        <v>16072</v>
      </c>
      <c r="B23" s="49">
        <v>224.447</v>
      </c>
      <c r="C23" s="47"/>
      <c r="D23" s="16">
        <v>18537</v>
      </c>
      <c r="E23" s="46">
        <v>319.94499999999999</v>
      </c>
      <c r="G23">
        <f t="shared" si="1"/>
        <v>174</v>
      </c>
      <c r="H23" s="15">
        <f t="shared" si="0"/>
        <v>32416</v>
      </c>
      <c r="I23" s="46">
        <f t="shared" si="2"/>
        <v>5341.1720000000005</v>
      </c>
    </row>
    <row r="24" spans="1:9" x14ac:dyDescent="0.25">
      <c r="A24" s="16">
        <v>16438</v>
      </c>
      <c r="B24" s="49">
        <v>228.00700000000001</v>
      </c>
      <c r="C24" s="47"/>
      <c r="D24" s="16">
        <v>18629</v>
      </c>
      <c r="E24" s="46">
        <v>336</v>
      </c>
      <c r="G24">
        <f t="shared" si="1"/>
        <v>178</v>
      </c>
      <c r="H24" s="15">
        <f t="shared" si="0"/>
        <v>32781</v>
      </c>
      <c r="I24" s="46">
        <f t="shared" si="2"/>
        <v>5721.3009999999995</v>
      </c>
    </row>
    <row r="25" spans="1:9" x14ac:dyDescent="0.25">
      <c r="A25" s="16">
        <v>16803</v>
      </c>
      <c r="B25" s="49">
        <v>227.535</v>
      </c>
      <c r="C25" s="47"/>
      <c r="D25" s="16">
        <v>18719</v>
      </c>
      <c r="E25" s="46">
        <v>344.09</v>
      </c>
      <c r="G25">
        <f t="shared" si="1"/>
        <v>182</v>
      </c>
      <c r="H25" s="15">
        <f t="shared" si="0"/>
        <v>33146</v>
      </c>
      <c r="I25" s="46">
        <f t="shared" si="2"/>
        <v>6009.9245000000001</v>
      </c>
    </row>
    <row r="26" spans="1:9" x14ac:dyDescent="0.25">
      <c r="A26" s="16">
        <v>17168</v>
      </c>
      <c r="B26" s="49">
        <v>249.61600000000001</v>
      </c>
      <c r="C26" s="47"/>
      <c r="D26" s="16">
        <v>18810</v>
      </c>
      <c r="E26" s="46">
        <v>351.38499999999999</v>
      </c>
      <c r="G26">
        <f t="shared" si="1"/>
        <v>186</v>
      </c>
      <c r="H26" s="15">
        <f t="shared" si="0"/>
        <v>33511</v>
      </c>
      <c r="I26" s="46">
        <f t="shared" si="2"/>
        <v>6235.2384999999995</v>
      </c>
    </row>
    <row r="27" spans="1:9" x14ac:dyDescent="0.25">
      <c r="A27" s="16">
        <v>17533</v>
      </c>
      <c r="B27" s="49">
        <v>274.46800000000002</v>
      </c>
      <c r="C27" s="47"/>
      <c r="D27" s="16">
        <v>18902</v>
      </c>
      <c r="E27" s="46">
        <v>356.178</v>
      </c>
      <c r="G27">
        <f t="shared" ref="G27:G50" si="3">G26+4</f>
        <v>190</v>
      </c>
      <c r="H27" s="15">
        <f t="shared" ref="H27:H50" si="4">INDEX(D$1:D$999,$G27)+91</f>
        <v>33877</v>
      </c>
      <c r="I27" s="46">
        <f t="shared" ref="I27:I51" si="5">INDEX(F$1:F$999,$G27)</f>
        <v>6623.7219999999998</v>
      </c>
    </row>
    <row r="28" spans="1:9" x14ac:dyDescent="0.25">
      <c r="A28" s="16">
        <v>17899</v>
      </c>
      <c r="B28" s="49">
        <v>272.47500000000002</v>
      </c>
      <c r="C28" s="47"/>
      <c r="D28" s="16">
        <v>18994</v>
      </c>
      <c r="E28" s="46">
        <v>359.82</v>
      </c>
      <c r="G28">
        <f t="shared" si="3"/>
        <v>194</v>
      </c>
      <c r="H28" s="15">
        <f t="shared" si="4"/>
        <v>34242</v>
      </c>
      <c r="I28" s="46">
        <f t="shared" si="5"/>
        <v>6947.9179999999997</v>
      </c>
    </row>
    <row r="29" spans="1:9" x14ac:dyDescent="0.25">
      <c r="A29" s="16">
        <v>18264</v>
      </c>
      <c r="B29" s="49">
        <v>299.827</v>
      </c>
      <c r="C29" s="47"/>
      <c r="D29" s="16">
        <v>19085</v>
      </c>
      <c r="E29" s="46">
        <v>361.03</v>
      </c>
      <c r="G29">
        <f t="shared" si="3"/>
        <v>198</v>
      </c>
      <c r="H29" s="15">
        <f t="shared" si="4"/>
        <v>34607</v>
      </c>
      <c r="I29" s="46">
        <f t="shared" si="5"/>
        <v>7393.1814999999997</v>
      </c>
    </row>
    <row r="30" spans="1:9" x14ac:dyDescent="0.25">
      <c r="A30" s="16">
        <v>18629</v>
      </c>
      <c r="B30" s="49">
        <v>346.91399999999999</v>
      </c>
      <c r="C30" s="47"/>
      <c r="D30" s="16">
        <v>19176</v>
      </c>
      <c r="E30" s="46">
        <v>367.70100000000002</v>
      </c>
      <c r="G30">
        <f t="shared" si="3"/>
        <v>202</v>
      </c>
      <c r="H30" s="15">
        <f t="shared" si="4"/>
        <v>34972</v>
      </c>
      <c r="I30" s="46">
        <f t="shared" si="5"/>
        <v>7727.8554999999997</v>
      </c>
    </row>
    <row r="31" spans="1:9" x14ac:dyDescent="0.25">
      <c r="A31" s="16">
        <v>18994</v>
      </c>
      <c r="B31" s="49">
        <v>367.34100000000001</v>
      </c>
      <c r="C31" s="47"/>
      <c r="D31" s="16">
        <v>19268</v>
      </c>
      <c r="E31" s="46">
        <v>380.81200000000001</v>
      </c>
      <c r="G31">
        <f t="shared" si="3"/>
        <v>206</v>
      </c>
      <c r="H31" s="15">
        <f t="shared" si="4"/>
        <v>35338</v>
      </c>
      <c r="I31" s="46">
        <f t="shared" si="5"/>
        <v>8195.5895</v>
      </c>
    </row>
    <row r="32" spans="1:9" x14ac:dyDescent="0.25">
      <c r="A32" s="16">
        <v>19360</v>
      </c>
      <c r="B32" s="49">
        <v>389.21800000000002</v>
      </c>
      <c r="C32" s="47"/>
      <c r="D32" s="16">
        <v>19360</v>
      </c>
      <c r="E32" s="46">
        <v>387.98</v>
      </c>
      <c r="G32">
        <f t="shared" si="3"/>
        <v>210</v>
      </c>
      <c r="H32" s="15">
        <f t="shared" si="4"/>
        <v>35703</v>
      </c>
      <c r="I32" s="46">
        <f t="shared" si="5"/>
        <v>8714.3649999999998</v>
      </c>
    </row>
    <row r="33" spans="1:9" x14ac:dyDescent="0.25">
      <c r="A33" s="16">
        <v>19725</v>
      </c>
      <c r="B33" s="49">
        <v>390.54899999999998</v>
      </c>
      <c r="C33" s="47"/>
      <c r="D33" s="16">
        <v>19450</v>
      </c>
      <c r="E33" s="46">
        <v>391.74900000000002</v>
      </c>
      <c r="G33">
        <f t="shared" si="3"/>
        <v>214</v>
      </c>
      <c r="H33" s="15">
        <f t="shared" si="4"/>
        <v>36068</v>
      </c>
      <c r="I33" s="46">
        <f t="shared" si="5"/>
        <v>9207.5439999999999</v>
      </c>
    </row>
    <row r="34" spans="1:9" x14ac:dyDescent="0.25">
      <c r="A34" s="16">
        <v>20090</v>
      </c>
      <c r="B34" s="49">
        <v>425.47800000000001</v>
      </c>
      <c r="C34" s="47"/>
      <c r="D34" s="16">
        <v>19541</v>
      </c>
      <c r="E34" s="46">
        <v>391.17099999999999</v>
      </c>
      <c r="G34">
        <f t="shared" si="3"/>
        <v>218</v>
      </c>
      <c r="H34" s="15">
        <f t="shared" si="4"/>
        <v>36433</v>
      </c>
      <c r="I34" s="46">
        <f t="shared" si="5"/>
        <v>9790.6170000000002</v>
      </c>
    </row>
    <row r="35" spans="1:9" x14ac:dyDescent="0.25">
      <c r="A35" s="16">
        <v>20455</v>
      </c>
      <c r="B35" s="49">
        <v>449.35300000000001</v>
      </c>
      <c r="C35" s="47"/>
      <c r="D35" s="16">
        <v>19633</v>
      </c>
      <c r="E35" s="46">
        <v>385.97</v>
      </c>
      <c r="G35">
        <f t="shared" si="3"/>
        <v>222</v>
      </c>
      <c r="H35" s="15">
        <f t="shared" si="4"/>
        <v>36799</v>
      </c>
      <c r="I35" s="46">
        <f t="shared" si="5"/>
        <v>10379.424999999999</v>
      </c>
    </row>
    <row r="36" spans="1:9" x14ac:dyDescent="0.25">
      <c r="A36" s="16">
        <v>20821</v>
      </c>
      <c r="B36" s="49">
        <v>474.03899999999999</v>
      </c>
      <c r="C36" s="47"/>
      <c r="D36" s="16">
        <v>19725</v>
      </c>
      <c r="E36" s="46">
        <v>385.34500000000003</v>
      </c>
      <c r="G36">
        <f t="shared" si="3"/>
        <v>226</v>
      </c>
      <c r="H36" s="15">
        <f t="shared" si="4"/>
        <v>37164</v>
      </c>
      <c r="I36" s="46">
        <f t="shared" si="5"/>
        <v>10628.294</v>
      </c>
    </row>
    <row r="37" spans="1:9" x14ac:dyDescent="0.25">
      <c r="A37" s="16">
        <v>21186</v>
      </c>
      <c r="B37" s="49">
        <v>481.22899999999998</v>
      </c>
      <c r="C37" s="47"/>
      <c r="D37" s="16">
        <v>19815</v>
      </c>
      <c r="E37" s="46">
        <v>386.12099999999998</v>
      </c>
      <c r="G37">
        <f t="shared" si="3"/>
        <v>230</v>
      </c>
      <c r="H37" s="15">
        <f t="shared" si="4"/>
        <v>37529</v>
      </c>
      <c r="I37" s="46">
        <f t="shared" si="5"/>
        <v>11031.757</v>
      </c>
    </row>
    <row r="38" spans="1:9" x14ac:dyDescent="0.25">
      <c r="A38" s="16">
        <v>21551</v>
      </c>
      <c r="B38" s="49">
        <v>521.654</v>
      </c>
      <c r="C38" s="47"/>
      <c r="D38" s="16">
        <v>19906</v>
      </c>
      <c r="E38" s="46">
        <v>390.99599999999998</v>
      </c>
      <c r="G38">
        <f t="shared" si="3"/>
        <v>234</v>
      </c>
      <c r="H38" s="15">
        <f t="shared" si="4"/>
        <v>37894</v>
      </c>
      <c r="I38" s="46">
        <f t="shared" si="5"/>
        <v>11668.300499999999</v>
      </c>
    </row>
    <row r="39" spans="1:9" x14ac:dyDescent="0.25">
      <c r="A39" s="16">
        <v>21916</v>
      </c>
      <c r="B39" s="49">
        <v>542.38199999999995</v>
      </c>
      <c r="C39" s="47"/>
      <c r="D39" s="16">
        <v>19998</v>
      </c>
      <c r="E39" s="46">
        <v>399.73399999999998</v>
      </c>
      <c r="G39">
        <f t="shared" si="3"/>
        <v>238</v>
      </c>
      <c r="H39" s="15">
        <f t="shared" si="4"/>
        <v>38260</v>
      </c>
      <c r="I39" s="46">
        <f t="shared" si="5"/>
        <v>12412.8825</v>
      </c>
    </row>
    <row r="40" spans="1:9" x14ac:dyDescent="0.25">
      <c r="A40" s="16">
        <v>22282</v>
      </c>
      <c r="B40" s="49">
        <v>562.21</v>
      </c>
      <c r="C40" s="47"/>
      <c r="D40" s="16">
        <v>20090</v>
      </c>
      <c r="E40" s="46">
        <v>413.07299999999998</v>
      </c>
      <c r="G40">
        <f t="shared" si="3"/>
        <v>242</v>
      </c>
      <c r="H40" s="15">
        <f t="shared" si="4"/>
        <v>38625</v>
      </c>
      <c r="I40" s="46">
        <f t="shared" si="5"/>
        <v>13237.594499999999</v>
      </c>
    </row>
    <row r="41" spans="1:9" x14ac:dyDescent="0.25">
      <c r="A41" s="16">
        <v>22647</v>
      </c>
      <c r="B41" s="49">
        <v>603.92100000000005</v>
      </c>
      <c r="C41" s="47"/>
      <c r="D41" s="16">
        <v>20180</v>
      </c>
      <c r="E41" s="46">
        <v>421.53199999999998</v>
      </c>
      <c r="G41">
        <f t="shared" si="3"/>
        <v>246</v>
      </c>
      <c r="H41" s="15">
        <f t="shared" si="4"/>
        <v>38990</v>
      </c>
      <c r="I41" s="46">
        <f t="shared" si="5"/>
        <v>13952.3485</v>
      </c>
    </row>
    <row r="42" spans="1:9" x14ac:dyDescent="0.25">
      <c r="A42" s="16">
        <v>23012</v>
      </c>
      <c r="B42" s="49">
        <v>637.45100000000002</v>
      </c>
      <c r="C42" s="47"/>
      <c r="D42" s="16">
        <v>20271</v>
      </c>
      <c r="E42" s="46">
        <v>430.221</v>
      </c>
      <c r="G42">
        <f t="shared" si="3"/>
        <v>250</v>
      </c>
      <c r="H42" s="15">
        <f t="shared" si="4"/>
        <v>39355</v>
      </c>
      <c r="I42" s="46">
        <f t="shared" si="5"/>
        <v>14608.252</v>
      </c>
    </row>
    <row r="43" spans="1:9" x14ac:dyDescent="0.25">
      <c r="A43" s="16">
        <v>23377</v>
      </c>
      <c r="B43" s="49">
        <v>684.46</v>
      </c>
      <c r="C43" s="47"/>
      <c r="D43" s="16">
        <v>20363</v>
      </c>
      <c r="E43" s="46">
        <v>437.09199999999998</v>
      </c>
      <c r="G43">
        <f t="shared" si="3"/>
        <v>254</v>
      </c>
      <c r="H43" s="15">
        <f t="shared" si="4"/>
        <v>39721</v>
      </c>
      <c r="I43" s="46">
        <f t="shared" si="5"/>
        <v>14697.365</v>
      </c>
    </row>
    <row r="44" spans="1:9" x14ac:dyDescent="0.25">
      <c r="A44" s="16">
        <v>23743</v>
      </c>
      <c r="B44" s="49">
        <v>742.28899999999999</v>
      </c>
      <c r="C44" s="47"/>
      <c r="D44" s="16">
        <v>20455</v>
      </c>
      <c r="E44" s="46">
        <v>439.74599999999998</v>
      </c>
      <c r="G44">
        <f t="shared" si="3"/>
        <v>258</v>
      </c>
      <c r="H44" s="15">
        <f t="shared" si="4"/>
        <v>40086</v>
      </c>
      <c r="I44" s="46">
        <f t="shared" si="5"/>
        <v>14524.166499999999</v>
      </c>
    </row>
    <row r="45" spans="1:9" x14ac:dyDescent="0.25">
      <c r="A45" s="16">
        <v>24108</v>
      </c>
      <c r="B45" s="49">
        <v>813.41399999999999</v>
      </c>
      <c r="C45" s="47"/>
      <c r="D45" s="16">
        <v>20546</v>
      </c>
      <c r="E45" s="46">
        <v>446.01</v>
      </c>
      <c r="G45">
        <f t="shared" si="3"/>
        <v>262</v>
      </c>
      <c r="H45" s="15">
        <f t="shared" si="4"/>
        <v>40451</v>
      </c>
      <c r="I45" s="46">
        <f t="shared" si="5"/>
        <v>15160.380000000001</v>
      </c>
    </row>
    <row r="46" spans="1:9" x14ac:dyDescent="0.25">
      <c r="A46" s="16">
        <v>24473</v>
      </c>
      <c r="B46" s="49">
        <v>859.95799999999997</v>
      </c>
      <c r="C46" s="47"/>
      <c r="D46" s="16">
        <v>20637</v>
      </c>
      <c r="E46" s="46">
        <v>451.19099999999997</v>
      </c>
      <c r="G46">
        <f t="shared" si="3"/>
        <v>266</v>
      </c>
      <c r="H46" s="15">
        <f t="shared" si="4"/>
        <v>40816</v>
      </c>
      <c r="I46" s="46">
        <f t="shared" si="5"/>
        <v>15694.154999999999</v>
      </c>
    </row>
    <row r="47" spans="1:9" x14ac:dyDescent="0.25">
      <c r="A47" s="16">
        <v>24838</v>
      </c>
      <c r="B47" s="49">
        <v>940.65099999999995</v>
      </c>
      <c r="C47" s="47"/>
      <c r="D47" s="16">
        <v>20729</v>
      </c>
      <c r="E47" s="46">
        <v>460.46300000000002</v>
      </c>
      <c r="G47">
        <f t="shared" si="3"/>
        <v>270</v>
      </c>
      <c r="H47" s="15">
        <f t="shared" si="4"/>
        <v>41182</v>
      </c>
      <c r="I47" s="46">
        <f t="shared" si="5"/>
        <v>16308.007</v>
      </c>
    </row>
    <row r="48" spans="1:9" x14ac:dyDescent="0.25">
      <c r="A48" s="16">
        <v>25204</v>
      </c>
      <c r="B48" s="49">
        <v>1017.615</v>
      </c>
      <c r="C48" s="47"/>
      <c r="D48" s="16">
        <v>20821</v>
      </c>
      <c r="E48" s="46">
        <v>469.779</v>
      </c>
      <c r="G48">
        <f t="shared" si="3"/>
        <v>274</v>
      </c>
      <c r="H48" s="15">
        <f t="shared" si="4"/>
        <v>41547</v>
      </c>
      <c r="I48" s="46">
        <f t="shared" si="5"/>
        <v>16965.942499999997</v>
      </c>
    </row>
    <row r="49" spans="1:11" x14ac:dyDescent="0.25">
      <c r="A49" s="16">
        <v>25569</v>
      </c>
      <c r="B49" s="49">
        <v>1073.3030000000001</v>
      </c>
      <c r="C49" s="47"/>
      <c r="D49" s="16">
        <v>20911</v>
      </c>
      <c r="E49" s="46">
        <v>472.02499999999998</v>
      </c>
      <c r="G49">
        <f t="shared" si="3"/>
        <v>278</v>
      </c>
      <c r="H49" s="15">
        <f t="shared" si="4"/>
        <v>41912</v>
      </c>
      <c r="I49" s="46">
        <f t="shared" si="5"/>
        <v>17779.145</v>
      </c>
      <c r="J49" s="20"/>
    </row>
    <row r="50" spans="1:11" s="93" customFormat="1" ht="15.75" thickBot="1" x14ac:dyDescent="0.3">
      <c r="A50" s="105">
        <v>25934</v>
      </c>
      <c r="B50" s="106">
        <v>1164.8499999999999</v>
      </c>
      <c r="C50" s="107"/>
      <c r="D50" s="105">
        <v>21002</v>
      </c>
      <c r="E50" s="108">
        <v>479.49</v>
      </c>
      <c r="G50" s="93">
        <f t="shared" si="3"/>
        <v>282</v>
      </c>
      <c r="H50" s="109">
        <f t="shared" si="4"/>
        <v>42277</v>
      </c>
      <c r="I50" s="108">
        <f t="shared" si="5"/>
        <v>18342.732499999998</v>
      </c>
      <c r="J50" s="101"/>
    </row>
    <row r="51" spans="1:11" x14ac:dyDescent="0.25">
      <c r="A51" s="16">
        <v>26299</v>
      </c>
      <c r="B51" s="49">
        <v>1279.1099999999999</v>
      </c>
      <c r="C51" s="47"/>
      <c r="D51" s="16">
        <v>21094</v>
      </c>
      <c r="E51" s="46">
        <v>474.86399999999998</v>
      </c>
      <c r="G51">
        <f>G50+5</f>
        <v>287</v>
      </c>
      <c r="H51" s="15">
        <f>H50+366</f>
        <v>42643</v>
      </c>
      <c r="I51" s="46">
        <f t="shared" si="5"/>
        <v>18889.446499999998</v>
      </c>
      <c r="J51" s="86" t="s">
        <v>196</v>
      </c>
    </row>
    <row r="52" spans="1:11" x14ac:dyDescent="0.25">
      <c r="A52" s="16">
        <v>26665</v>
      </c>
      <c r="B52" s="49">
        <v>1425.376</v>
      </c>
      <c r="C52" s="47"/>
      <c r="D52" s="16">
        <v>21186</v>
      </c>
      <c r="E52" s="46">
        <v>467.54</v>
      </c>
      <c r="G52">
        <f>G51+1</f>
        <v>288</v>
      </c>
      <c r="H52" s="15">
        <f>H51+365/4</f>
        <v>42734.25</v>
      </c>
      <c r="I52" s="46">
        <f t="shared" ref="I52:I58" si="6">INDEX(F$1:F$999,$G52)</f>
        <v>19070.897499999999</v>
      </c>
      <c r="J52" s="20"/>
    </row>
    <row r="53" spans="1:11" x14ac:dyDescent="0.25">
      <c r="A53" s="16">
        <v>27030</v>
      </c>
      <c r="B53" s="49">
        <v>1545.2429999999999</v>
      </c>
      <c r="C53" s="47"/>
      <c r="D53" s="16">
        <v>21276</v>
      </c>
      <c r="E53" s="46">
        <v>471.97800000000001</v>
      </c>
      <c r="G53">
        <f t="shared" ref="G53:G58" si="7">G52+1</f>
        <v>289</v>
      </c>
      <c r="H53" s="15">
        <f t="shared" ref="H53:H58" si="8">H52+365/4</f>
        <v>42825.5</v>
      </c>
      <c r="I53" s="46">
        <f t="shared" si="6"/>
        <v>19260.836499999998</v>
      </c>
      <c r="J53" s="20"/>
    </row>
    <row r="54" spans="1:11" x14ac:dyDescent="0.25">
      <c r="A54" s="16">
        <v>27395</v>
      </c>
      <c r="B54" s="49">
        <v>1684.904</v>
      </c>
      <c r="C54" s="47"/>
      <c r="D54" s="16">
        <v>21367</v>
      </c>
      <c r="E54" s="46">
        <v>485.84100000000001</v>
      </c>
      <c r="G54">
        <f t="shared" si="7"/>
        <v>290</v>
      </c>
      <c r="H54" s="15">
        <f t="shared" si="8"/>
        <v>42916.75</v>
      </c>
      <c r="I54" s="46">
        <f t="shared" si="6"/>
        <v>19473.5985</v>
      </c>
      <c r="J54" s="20"/>
    </row>
    <row r="55" spans="1:11" x14ac:dyDescent="0.25">
      <c r="A55" s="16">
        <v>27760</v>
      </c>
      <c r="B55" s="49">
        <v>1873.412</v>
      </c>
      <c r="C55" s="47"/>
      <c r="D55" s="16">
        <v>21459</v>
      </c>
      <c r="E55" s="46">
        <v>499.55500000000001</v>
      </c>
      <c r="G55">
        <f t="shared" si="7"/>
        <v>291</v>
      </c>
      <c r="H55" s="15">
        <f t="shared" si="8"/>
        <v>43008</v>
      </c>
      <c r="I55" s="46">
        <f t="shared" si="6"/>
        <v>19709.951500000003</v>
      </c>
      <c r="K55" t="s">
        <v>188</v>
      </c>
    </row>
    <row r="56" spans="1:11" x14ac:dyDescent="0.25">
      <c r="A56" s="16">
        <v>28126</v>
      </c>
      <c r="B56" s="49">
        <v>2081.826</v>
      </c>
      <c r="C56" s="47"/>
      <c r="D56" s="16">
        <v>21551</v>
      </c>
      <c r="E56" s="46">
        <v>510.33</v>
      </c>
      <c r="G56">
        <f t="shared" si="7"/>
        <v>292</v>
      </c>
      <c r="H56" s="15">
        <f t="shared" si="8"/>
        <v>43099.25</v>
      </c>
      <c r="I56" s="46">
        <f t="shared" si="6"/>
        <v>19936.438000000002</v>
      </c>
    </row>
    <row r="57" spans="1:11" x14ac:dyDescent="0.25">
      <c r="A57" s="16">
        <v>28491</v>
      </c>
      <c r="B57" s="49">
        <v>2351.5990000000002</v>
      </c>
      <c r="C57" s="47"/>
      <c r="D57" s="16">
        <v>21641</v>
      </c>
      <c r="E57" s="46">
        <v>522.65300000000002</v>
      </c>
      <c r="G57">
        <f t="shared" si="7"/>
        <v>293</v>
      </c>
      <c r="H57" s="15">
        <f t="shared" si="8"/>
        <v>43190.5</v>
      </c>
      <c r="I57" s="46">
        <f t="shared" si="6"/>
        <v>20226.485499999999</v>
      </c>
    </row>
    <row r="58" spans="1:11" x14ac:dyDescent="0.25">
      <c r="A58" s="16">
        <v>28856</v>
      </c>
      <c r="B58" s="49">
        <v>2627.3339999999998</v>
      </c>
      <c r="C58" s="47"/>
      <c r="D58" s="16">
        <v>21732</v>
      </c>
      <c r="E58" s="46">
        <v>525.03399999999999</v>
      </c>
      <c r="G58">
        <f t="shared" si="7"/>
        <v>294</v>
      </c>
      <c r="H58" s="15">
        <f t="shared" si="8"/>
        <v>43281.75</v>
      </c>
      <c r="I58" s="46">
        <f t="shared" si="6"/>
        <v>20535.063999999998</v>
      </c>
    </row>
    <row r="59" spans="1:11" x14ac:dyDescent="0.25">
      <c r="A59" s="16">
        <v>29221</v>
      </c>
      <c r="B59" s="49">
        <v>2857.3069999999998</v>
      </c>
      <c r="C59" s="47"/>
      <c r="D59" s="16">
        <v>21824</v>
      </c>
      <c r="E59" s="46">
        <v>528.6</v>
      </c>
      <c r="G59">
        <f t="shared" ref="G59:G62" si="9">G58+1</f>
        <v>295</v>
      </c>
      <c r="H59" s="15">
        <f t="shared" ref="H59:H62" si="10">H58+365/4</f>
        <v>43373</v>
      </c>
      <c r="I59" s="46">
        <f t="shared" ref="I59:I62" si="11">INDEX(F$1:F$999,$G59)</f>
        <v>20761.671999999999</v>
      </c>
    </row>
    <row r="60" spans="1:11" x14ac:dyDescent="0.25">
      <c r="A60" s="16">
        <v>29587</v>
      </c>
      <c r="B60" s="49">
        <v>3207.0419999999999</v>
      </c>
      <c r="C60" s="47"/>
      <c r="D60" s="16">
        <v>21916</v>
      </c>
      <c r="E60" s="46">
        <v>542.64800000000002</v>
      </c>
      <c r="G60">
        <f t="shared" si="9"/>
        <v>296</v>
      </c>
      <c r="H60" s="15">
        <f t="shared" si="10"/>
        <v>43464.25</v>
      </c>
      <c r="I60" s="46">
        <f t="shared" si="11"/>
        <v>20962.601000000002</v>
      </c>
    </row>
    <row r="61" spans="1:11" x14ac:dyDescent="0.25">
      <c r="A61" s="16">
        <v>29952</v>
      </c>
      <c r="B61" s="49">
        <v>3343.7890000000002</v>
      </c>
      <c r="C61" s="47"/>
      <c r="D61" s="16">
        <v>22007</v>
      </c>
      <c r="E61" s="46">
        <v>541.08000000000004</v>
      </c>
      <c r="G61">
        <f t="shared" si="9"/>
        <v>297</v>
      </c>
      <c r="H61" s="15">
        <f t="shared" si="10"/>
        <v>43555.5</v>
      </c>
      <c r="I61" s="46">
        <f t="shared" si="11"/>
        <v>21160.5265</v>
      </c>
    </row>
    <row r="62" spans="1:11" x14ac:dyDescent="0.25">
      <c r="A62" s="16">
        <v>30317</v>
      </c>
      <c r="B62" s="49">
        <v>3634.038</v>
      </c>
      <c r="C62" s="47"/>
      <c r="D62" s="16">
        <v>22098</v>
      </c>
      <c r="E62" s="46">
        <v>545.60400000000004</v>
      </c>
      <c r="G62">
        <f t="shared" si="9"/>
        <v>298</v>
      </c>
      <c r="H62" s="15">
        <f t="shared" si="10"/>
        <v>43646.75</v>
      </c>
      <c r="I62" s="46">
        <f t="shared" si="11"/>
        <v>21359.953750000001</v>
      </c>
    </row>
    <row r="63" spans="1:11" x14ac:dyDescent="0.25">
      <c r="A63" s="16">
        <v>30682</v>
      </c>
      <c r="B63" s="49">
        <v>4037.6129999999998</v>
      </c>
      <c r="C63" s="47"/>
      <c r="D63" s="16">
        <v>22190</v>
      </c>
      <c r="E63" s="46">
        <v>540.197</v>
      </c>
    </row>
    <row r="64" spans="1:11" x14ac:dyDescent="0.25">
      <c r="A64" s="16">
        <v>31048</v>
      </c>
      <c r="B64" s="49">
        <v>4338.9790000000003</v>
      </c>
      <c r="C64" s="47"/>
      <c r="D64" s="16">
        <v>22282</v>
      </c>
      <c r="E64" s="46">
        <v>545.01800000000003</v>
      </c>
    </row>
    <row r="65" spans="1:5" x14ac:dyDescent="0.25">
      <c r="A65" s="16">
        <v>31413</v>
      </c>
      <c r="B65" s="49">
        <v>4579.6310000000003</v>
      </c>
      <c r="C65" s="47"/>
      <c r="D65" s="16">
        <v>22372</v>
      </c>
      <c r="E65" s="46">
        <v>555.54499999999996</v>
      </c>
    </row>
    <row r="66" spans="1:5" x14ac:dyDescent="0.25">
      <c r="A66" s="16">
        <v>31778</v>
      </c>
      <c r="B66" s="49">
        <v>4855.2150000000001</v>
      </c>
      <c r="C66" s="47"/>
      <c r="D66" s="16">
        <v>22463</v>
      </c>
      <c r="E66" s="46">
        <v>567.66399999999999</v>
      </c>
    </row>
    <row r="67" spans="1:5" x14ac:dyDescent="0.25">
      <c r="A67" s="16">
        <v>32143</v>
      </c>
      <c r="B67" s="49">
        <v>5236.4380000000001</v>
      </c>
      <c r="C67" s="47"/>
      <c r="D67" s="16">
        <v>22555</v>
      </c>
      <c r="E67" s="46">
        <v>580.61199999999997</v>
      </c>
    </row>
    <row r="68" spans="1:5" x14ac:dyDescent="0.25">
      <c r="A68" s="16">
        <v>32509</v>
      </c>
      <c r="B68" s="49">
        <v>5641.58</v>
      </c>
      <c r="C68" s="47"/>
      <c r="D68" s="16">
        <v>22647</v>
      </c>
      <c r="E68" s="46">
        <v>594.01300000000003</v>
      </c>
    </row>
    <row r="69" spans="1:5" x14ac:dyDescent="0.25">
      <c r="A69" s="16">
        <v>32874</v>
      </c>
      <c r="B69" s="49">
        <v>5963.1440000000002</v>
      </c>
      <c r="C69" s="47"/>
      <c r="D69" s="16">
        <v>22737</v>
      </c>
      <c r="E69" s="46">
        <v>600.36599999999999</v>
      </c>
    </row>
    <row r="70" spans="1:5" x14ac:dyDescent="0.25">
      <c r="A70" s="16">
        <v>33239</v>
      </c>
      <c r="B70" s="49">
        <v>6158.1289999999999</v>
      </c>
      <c r="C70" s="47"/>
      <c r="D70" s="16">
        <v>22828</v>
      </c>
      <c r="E70" s="46">
        <v>609.02700000000004</v>
      </c>
    </row>
    <row r="71" spans="1:5" x14ac:dyDescent="0.25">
      <c r="A71" s="16">
        <v>33604</v>
      </c>
      <c r="B71" s="49">
        <v>6520.3270000000002</v>
      </c>
      <c r="C71" s="47"/>
      <c r="D71" s="16">
        <v>22920</v>
      </c>
      <c r="E71" s="46">
        <v>612.28</v>
      </c>
    </row>
    <row r="72" spans="1:5" x14ac:dyDescent="0.25">
      <c r="A72" s="16">
        <v>33970</v>
      </c>
      <c r="B72" s="49">
        <v>6858.5590000000002</v>
      </c>
      <c r="C72" s="47"/>
      <c r="D72" s="16">
        <v>23012</v>
      </c>
      <c r="E72" s="46">
        <v>621.67200000000003</v>
      </c>
    </row>
    <row r="73" spans="1:5" x14ac:dyDescent="0.25">
      <c r="A73" s="16">
        <v>34335</v>
      </c>
      <c r="B73" s="49">
        <v>7287.2359999999999</v>
      </c>
      <c r="C73" s="47"/>
      <c r="D73" s="16">
        <v>23102</v>
      </c>
      <c r="E73" s="46">
        <v>629.75199999999995</v>
      </c>
    </row>
    <row r="74" spans="1:5" x14ac:dyDescent="0.25">
      <c r="A74" s="16">
        <v>34700</v>
      </c>
      <c r="B74" s="49">
        <v>7639.7489999999998</v>
      </c>
      <c r="C74" s="47"/>
      <c r="D74" s="16">
        <v>23193</v>
      </c>
      <c r="E74" s="46">
        <v>644.44399999999996</v>
      </c>
    </row>
    <row r="75" spans="1:5" x14ac:dyDescent="0.25">
      <c r="A75" s="16">
        <v>35065</v>
      </c>
      <c r="B75" s="49">
        <v>8073.1220000000003</v>
      </c>
      <c r="C75" s="47"/>
      <c r="D75" s="16">
        <v>23285</v>
      </c>
      <c r="E75" s="46">
        <v>653.93799999999999</v>
      </c>
    </row>
    <row r="76" spans="1:5" x14ac:dyDescent="0.25">
      <c r="A76" s="16">
        <v>35431</v>
      </c>
      <c r="B76" s="49">
        <v>8577.5519999999997</v>
      </c>
      <c r="C76" s="47"/>
      <c r="D76" s="16">
        <v>23377</v>
      </c>
      <c r="E76" s="46">
        <v>669.822</v>
      </c>
    </row>
    <row r="77" spans="1:5" x14ac:dyDescent="0.25">
      <c r="A77" s="16">
        <v>35796</v>
      </c>
      <c r="B77" s="49">
        <v>9062.8169999999991</v>
      </c>
      <c r="C77" s="47"/>
      <c r="D77" s="16">
        <v>23468</v>
      </c>
      <c r="E77" s="46">
        <v>678.67399999999998</v>
      </c>
    </row>
    <row r="78" spans="1:5" x14ac:dyDescent="0.25">
      <c r="A78" s="16">
        <v>36161</v>
      </c>
      <c r="B78" s="49">
        <v>9630.6630000000005</v>
      </c>
      <c r="C78" s="47"/>
      <c r="D78" s="16">
        <v>23559</v>
      </c>
      <c r="E78" s="46">
        <v>692.03099999999995</v>
      </c>
    </row>
    <row r="79" spans="1:5" x14ac:dyDescent="0.25">
      <c r="A79" s="16">
        <v>36526</v>
      </c>
      <c r="B79" s="49">
        <v>10252.347</v>
      </c>
      <c r="C79" s="47"/>
      <c r="D79" s="16">
        <v>23651</v>
      </c>
      <c r="E79" s="46">
        <v>697.31899999999996</v>
      </c>
    </row>
    <row r="80" spans="1:5" x14ac:dyDescent="0.25">
      <c r="A80" s="16">
        <v>36892</v>
      </c>
      <c r="B80" s="49">
        <v>10581.822</v>
      </c>
      <c r="C80" s="47"/>
      <c r="D80" s="16">
        <v>23743</v>
      </c>
      <c r="E80" s="46">
        <v>717.79</v>
      </c>
    </row>
    <row r="81" spans="1:5" x14ac:dyDescent="0.25">
      <c r="A81" s="16">
        <v>37257</v>
      </c>
      <c r="B81" s="49">
        <v>10936.418</v>
      </c>
      <c r="C81" s="47"/>
      <c r="D81" s="16">
        <v>23833</v>
      </c>
      <c r="E81" s="46">
        <v>730.19100000000003</v>
      </c>
    </row>
    <row r="82" spans="1:5" x14ac:dyDescent="0.25">
      <c r="A82" s="16">
        <v>37622</v>
      </c>
      <c r="B82" s="49">
        <v>11458.245999999999</v>
      </c>
      <c r="C82" s="47"/>
      <c r="D82" s="16">
        <v>23924</v>
      </c>
      <c r="E82" s="46">
        <v>749.32299999999998</v>
      </c>
    </row>
    <row r="83" spans="1:5" x14ac:dyDescent="0.25">
      <c r="A83" s="16">
        <v>37987</v>
      </c>
      <c r="B83" s="49">
        <v>12213.73</v>
      </c>
      <c r="C83" s="47"/>
      <c r="D83" s="16">
        <v>24016</v>
      </c>
      <c r="E83" s="46">
        <v>771.85699999999997</v>
      </c>
    </row>
    <row r="84" spans="1:5" x14ac:dyDescent="0.25">
      <c r="A84" s="16">
        <v>38353</v>
      </c>
      <c r="B84" s="49">
        <v>13036.637000000001</v>
      </c>
      <c r="C84" s="47"/>
      <c r="D84" s="16">
        <v>24108</v>
      </c>
      <c r="E84" s="46">
        <v>795.73400000000004</v>
      </c>
    </row>
    <row r="85" spans="1:5" x14ac:dyDescent="0.25">
      <c r="A85" s="16">
        <v>38718</v>
      </c>
      <c r="B85" s="49">
        <v>13814.609</v>
      </c>
      <c r="C85" s="47"/>
      <c r="D85" s="16">
        <v>24198</v>
      </c>
      <c r="E85" s="46">
        <v>804.98099999999999</v>
      </c>
    </row>
    <row r="86" spans="1:5" x14ac:dyDescent="0.25">
      <c r="A86" s="16">
        <v>39083</v>
      </c>
      <c r="B86" s="49">
        <v>14451.86</v>
      </c>
      <c r="C86" s="47"/>
      <c r="D86" s="16">
        <v>24289</v>
      </c>
      <c r="E86" s="46">
        <v>819.63800000000003</v>
      </c>
    </row>
    <row r="87" spans="1:5" x14ac:dyDescent="0.25">
      <c r="A87" s="16">
        <v>39448</v>
      </c>
      <c r="B87" s="49">
        <v>14712.844999999999</v>
      </c>
      <c r="C87" s="47"/>
      <c r="D87" s="16">
        <v>24381</v>
      </c>
      <c r="E87" s="46">
        <v>833.30200000000002</v>
      </c>
    </row>
    <row r="88" spans="1:5" x14ac:dyDescent="0.25">
      <c r="A88" s="16">
        <v>39814</v>
      </c>
      <c r="B88" s="49">
        <v>14448.932000000001</v>
      </c>
      <c r="C88" s="47"/>
      <c r="D88" s="16">
        <v>24473</v>
      </c>
      <c r="E88" s="46">
        <v>844.17</v>
      </c>
    </row>
    <row r="89" spans="1:5" x14ac:dyDescent="0.25">
      <c r="A89" s="16">
        <v>40179</v>
      </c>
      <c r="B89" s="49">
        <v>14992.052</v>
      </c>
      <c r="C89" s="47"/>
      <c r="D89" s="16">
        <v>24563</v>
      </c>
      <c r="E89" s="46">
        <v>848.98299999999995</v>
      </c>
    </row>
    <row r="90" spans="1:5" x14ac:dyDescent="0.25">
      <c r="A90" s="16">
        <v>40544</v>
      </c>
      <c r="B90" s="49">
        <v>15542.582</v>
      </c>
      <c r="C90" s="47"/>
      <c r="D90" s="16">
        <v>24654</v>
      </c>
      <c r="E90" s="46">
        <v>865.23299999999995</v>
      </c>
    </row>
    <row r="91" spans="1:5" x14ac:dyDescent="0.25">
      <c r="A91" s="16">
        <v>40909</v>
      </c>
      <c r="B91" s="49">
        <v>16197.007</v>
      </c>
      <c r="C91" s="47"/>
      <c r="D91" s="16">
        <v>24746</v>
      </c>
      <c r="E91" s="46">
        <v>881.43899999999996</v>
      </c>
    </row>
    <row r="92" spans="1:5" x14ac:dyDescent="0.25">
      <c r="A92" s="16">
        <v>41275</v>
      </c>
      <c r="B92" s="49">
        <v>16784.850999999999</v>
      </c>
      <c r="C92" s="47"/>
      <c r="D92" s="16">
        <v>24838</v>
      </c>
      <c r="E92" s="46">
        <v>909.38699999999994</v>
      </c>
    </row>
    <row r="93" spans="1:5" x14ac:dyDescent="0.25">
      <c r="A93" s="16">
        <v>41640</v>
      </c>
      <c r="B93" s="49">
        <v>17521.746999999999</v>
      </c>
      <c r="C93" s="47"/>
      <c r="D93" s="16">
        <v>24929</v>
      </c>
      <c r="E93" s="46">
        <v>934.34400000000005</v>
      </c>
    </row>
    <row r="94" spans="1:5" x14ac:dyDescent="0.25">
      <c r="A94" s="16">
        <v>42005</v>
      </c>
      <c r="B94" s="49">
        <v>18219.296999999999</v>
      </c>
      <c r="C94" s="47"/>
      <c r="D94" s="16">
        <v>25020</v>
      </c>
      <c r="E94" s="46">
        <v>950.82500000000005</v>
      </c>
    </row>
    <row r="95" spans="1:5" x14ac:dyDescent="0.25">
      <c r="A95" s="16">
        <v>42370</v>
      </c>
      <c r="B95" s="49">
        <v>18707.188999999998</v>
      </c>
      <c r="C95" s="47"/>
      <c r="D95" s="16">
        <v>25112</v>
      </c>
      <c r="E95" s="46">
        <v>968.03</v>
      </c>
    </row>
    <row r="96" spans="1:5" x14ac:dyDescent="0.25">
      <c r="A96" s="16">
        <v>42736</v>
      </c>
      <c r="B96" s="49">
        <v>19485.394</v>
      </c>
      <c r="C96" s="47"/>
      <c r="D96" s="16">
        <v>25204</v>
      </c>
      <c r="E96" s="46">
        <v>993.33699999999999</v>
      </c>
    </row>
    <row r="97" spans="1:5" x14ac:dyDescent="0.25">
      <c r="A97" s="16">
        <v>43101</v>
      </c>
      <c r="B97" s="49">
        <v>20494.079000000002</v>
      </c>
      <c r="C97" s="47"/>
      <c r="D97" s="16">
        <v>25294</v>
      </c>
      <c r="E97" s="46">
        <v>1009.02</v>
      </c>
    </row>
    <row r="98" spans="1:5" x14ac:dyDescent="0.25">
      <c r="B98" s="49"/>
      <c r="C98" s="47"/>
      <c r="D98" s="16">
        <v>25385</v>
      </c>
      <c r="E98" s="46">
        <v>1029.9559999999999</v>
      </c>
    </row>
    <row r="99" spans="1:5" x14ac:dyDescent="0.25">
      <c r="B99" s="49"/>
      <c r="C99" s="47"/>
      <c r="D99" s="16">
        <v>25477</v>
      </c>
      <c r="E99" s="46">
        <v>1038.1469999999999</v>
      </c>
    </row>
    <row r="100" spans="1:5" x14ac:dyDescent="0.25">
      <c r="B100" s="49"/>
      <c r="C100" s="47"/>
      <c r="D100" s="16">
        <v>25569</v>
      </c>
      <c r="E100" s="46">
        <v>1051.2</v>
      </c>
    </row>
    <row r="101" spans="1:5" x14ac:dyDescent="0.25">
      <c r="B101" s="49"/>
      <c r="C101" s="47"/>
      <c r="D101" s="16">
        <v>25659</v>
      </c>
      <c r="E101" s="46">
        <v>1067.375</v>
      </c>
    </row>
    <row r="102" spans="1:5" x14ac:dyDescent="0.25">
      <c r="B102" s="49"/>
      <c r="C102" s="47"/>
      <c r="D102" s="16">
        <v>25750</v>
      </c>
      <c r="E102" s="46">
        <v>1086.059</v>
      </c>
    </row>
    <row r="103" spans="1:5" x14ac:dyDescent="0.25">
      <c r="B103" s="49"/>
      <c r="C103" s="47"/>
      <c r="D103" s="16">
        <v>25842</v>
      </c>
      <c r="E103" s="46">
        <v>1088.6079999999999</v>
      </c>
    </row>
    <row r="104" spans="1:5" x14ac:dyDescent="0.25">
      <c r="B104" s="49"/>
      <c r="C104" s="47"/>
      <c r="D104" s="16">
        <v>25934</v>
      </c>
      <c r="E104" s="46">
        <v>1135.1559999999999</v>
      </c>
    </row>
    <row r="105" spans="1:5" x14ac:dyDescent="0.25">
      <c r="B105" s="49"/>
      <c r="C105" s="47"/>
      <c r="D105" s="16">
        <v>26024</v>
      </c>
      <c r="E105" s="46">
        <v>1156.271</v>
      </c>
    </row>
    <row r="106" spans="1:5" x14ac:dyDescent="0.25">
      <c r="B106" s="49"/>
      <c r="C106" s="47"/>
      <c r="D106" s="16">
        <v>26115</v>
      </c>
      <c r="E106" s="46">
        <v>1177.675</v>
      </c>
    </row>
    <row r="107" spans="1:5" x14ac:dyDescent="0.25">
      <c r="B107" s="49"/>
      <c r="C107" s="47"/>
      <c r="D107" s="16">
        <v>26207</v>
      </c>
      <c r="E107" s="46">
        <v>1190.297</v>
      </c>
    </row>
    <row r="108" spans="1:5" x14ac:dyDescent="0.25">
      <c r="B108" s="49"/>
      <c r="C108" s="47"/>
      <c r="D108" s="16">
        <v>26299</v>
      </c>
      <c r="E108" s="46">
        <v>1230.6089999999999</v>
      </c>
    </row>
    <row r="109" spans="1:5" x14ac:dyDescent="0.25">
      <c r="B109" s="49"/>
      <c r="C109" s="47"/>
      <c r="D109" s="16">
        <v>26390</v>
      </c>
      <c r="E109" s="46">
        <v>1266.3689999999999</v>
      </c>
    </row>
    <row r="110" spans="1:5" x14ac:dyDescent="0.25">
      <c r="B110" s="49"/>
      <c r="C110" s="47"/>
      <c r="D110" s="16">
        <v>26481</v>
      </c>
      <c r="E110" s="46">
        <v>1290.566</v>
      </c>
    </row>
    <row r="111" spans="1:5" x14ac:dyDescent="0.25">
      <c r="B111" s="49"/>
      <c r="C111" s="47"/>
      <c r="D111" s="16">
        <v>26573</v>
      </c>
      <c r="E111" s="46">
        <v>1328.904</v>
      </c>
    </row>
    <row r="112" spans="1:5" x14ac:dyDescent="0.25">
      <c r="B112" s="49"/>
      <c r="C112" s="47"/>
      <c r="D112" s="16">
        <v>26665</v>
      </c>
      <c r="E112" s="46">
        <v>1377.49</v>
      </c>
    </row>
    <row r="113" spans="2:5" x14ac:dyDescent="0.25">
      <c r="B113" s="49"/>
      <c r="C113" s="47"/>
      <c r="D113" s="16">
        <v>26755</v>
      </c>
      <c r="E113" s="46">
        <v>1413.8869999999999</v>
      </c>
    </row>
    <row r="114" spans="2:5" x14ac:dyDescent="0.25">
      <c r="B114" s="49"/>
      <c r="C114" s="47"/>
      <c r="D114" s="16">
        <v>26846</v>
      </c>
      <c r="E114" s="46">
        <v>1433.838</v>
      </c>
    </row>
    <row r="115" spans="2:5" x14ac:dyDescent="0.25">
      <c r="B115" s="49"/>
      <c r="C115" s="47"/>
      <c r="D115" s="16">
        <v>26938</v>
      </c>
      <c r="E115" s="46">
        <v>1476.289</v>
      </c>
    </row>
    <row r="116" spans="2:5" x14ac:dyDescent="0.25">
      <c r="B116" s="47"/>
      <c r="C116" s="47"/>
      <c r="D116" s="16">
        <v>27030</v>
      </c>
      <c r="E116" s="46">
        <v>1491.2090000000001</v>
      </c>
    </row>
    <row r="117" spans="2:5" x14ac:dyDescent="0.25">
      <c r="B117" s="47"/>
      <c r="C117" s="47"/>
      <c r="D117" s="16">
        <v>27120</v>
      </c>
      <c r="E117" s="46">
        <v>1530.056</v>
      </c>
    </row>
    <row r="118" spans="2:5" x14ac:dyDescent="0.25">
      <c r="B118" s="47"/>
      <c r="C118" s="47"/>
      <c r="D118" s="16">
        <v>27211</v>
      </c>
      <c r="E118" s="46">
        <v>1560.0260000000001</v>
      </c>
    </row>
    <row r="119" spans="2:5" x14ac:dyDescent="0.25">
      <c r="B119" s="47"/>
      <c r="C119" s="47"/>
      <c r="D119" s="16">
        <v>27303</v>
      </c>
      <c r="E119" s="46">
        <v>1599.6790000000001</v>
      </c>
    </row>
    <row r="120" spans="2:5" x14ac:dyDescent="0.25">
      <c r="B120" s="47"/>
      <c r="C120" s="47"/>
      <c r="D120" s="16">
        <v>27395</v>
      </c>
      <c r="E120" s="46">
        <v>1616.116</v>
      </c>
    </row>
    <row r="121" spans="2:5" x14ac:dyDescent="0.25">
      <c r="B121" s="47"/>
      <c r="C121" s="47"/>
      <c r="D121" s="16">
        <v>27485</v>
      </c>
      <c r="E121" s="46">
        <v>1651.8530000000001</v>
      </c>
    </row>
    <row r="122" spans="2:5" x14ac:dyDescent="0.25">
      <c r="B122" s="47"/>
      <c r="C122" s="47"/>
      <c r="D122" s="16">
        <v>27576</v>
      </c>
      <c r="E122" s="46">
        <v>1709.82</v>
      </c>
    </row>
    <row r="123" spans="2:5" x14ac:dyDescent="0.25">
      <c r="D123" s="16">
        <v>27668</v>
      </c>
      <c r="E123" s="46">
        <v>1761.8309999999999</v>
      </c>
    </row>
    <row r="124" spans="2:5" x14ac:dyDescent="0.25">
      <c r="D124" s="16">
        <v>27760</v>
      </c>
      <c r="E124" s="46">
        <v>1820.4870000000001</v>
      </c>
    </row>
    <row r="125" spans="2:5" x14ac:dyDescent="0.25">
      <c r="D125" s="16">
        <v>27851</v>
      </c>
      <c r="E125" s="46">
        <v>1852.3320000000001</v>
      </c>
    </row>
    <row r="126" spans="2:5" x14ac:dyDescent="0.25">
      <c r="D126" s="16">
        <v>27942</v>
      </c>
      <c r="E126" s="46">
        <v>1886.558</v>
      </c>
    </row>
    <row r="127" spans="2:5" x14ac:dyDescent="0.25">
      <c r="D127" s="16">
        <v>28034</v>
      </c>
      <c r="E127" s="46">
        <v>1934.2729999999999</v>
      </c>
    </row>
    <row r="128" spans="2:5" x14ac:dyDescent="0.25">
      <c r="D128" s="16">
        <v>28126</v>
      </c>
      <c r="E128" s="46">
        <v>1988.6479999999999</v>
      </c>
    </row>
    <row r="129" spans="4:6" x14ac:dyDescent="0.25">
      <c r="D129" s="16">
        <v>28216</v>
      </c>
      <c r="E129" s="46">
        <v>2055.9090000000001</v>
      </c>
    </row>
    <row r="130" spans="4:6" x14ac:dyDescent="0.25">
      <c r="D130" s="16">
        <v>28307</v>
      </c>
      <c r="E130" s="46">
        <v>2118.473</v>
      </c>
      <c r="F130">
        <f>(E130+E131)/2</f>
        <v>2141.3715000000002</v>
      </c>
    </row>
    <row r="131" spans="4:6" x14ac:dyDescent="0.25">
      <c r="D131" s="16">
        <v>28399</v>
      </c>
      <c r="E131" s="46">
        <v>2164.27</v>
      </c>
    </row>
    <row r="132" spans="4:6" x14ac:dyDescent="0.25">
      <c r="D132" s="16">
        <v>28491</v>
      </c>
      <c r="E132" s="46">
        <v>2202.7600000000002</v>
      </c>
    </row>
    <row r="133" spans="4:6" x14ac:dyDescent="0.25">
      <c r="D133" s="16">
        <v>28581</v>
      </c>
      <c r="E133" s="46">
        <v>2331.6329999999998</v>
      </c>
    </row>
    <row r="134" spans="4:6" x14ac:dyDescent="0.25">
      <c r="D134" s="16">
        <v>28672</v>
      </c>
      <c r="E134" s="46">
        <v>2395.0529999999999</v>
      </c>
      <c r="F134">
        <f>(E134+E135)/2</f>
        <v>2436.0010000000002</v>
      </c>
    </row>
    <row r="135" spans="4:6" x14ac:dyDescent="0.25">
      <c r="D135" s="16">
        <v>28764</v>
      </c>
      <c r="E135" s="46">
        <v>2476.9490000000001</v>
      </c>
    </row>
    <row r="136" spans="4:6" x14ac:dyDescent="0.25">
      <c r="D136" s="16">
        <v>28856</v>
      </c>
      <c r="E136" s="46">
        <v>2526.61</v>
      </c>
    </row>
    <row r="137" spans="4:6" x14ac:dyDescent="0.25">
      <c r="D137" s="16">
        <v>28946</v>
      </c>
      <c r="E137" s="46">
        <v>2591.2469999999998</v>
      </c>
    </row>
    <row r="138" spans="4:6" x14ac:dyDescent="0.25">
      <c r="D138" s="16">
        <v>29037</v>
      </c>
      <c r="E138" s="46">
        <v>2667.5650000000001</v>
      </c>
      <c r="F138">
        <f>(E138+E139)/2</f>
        <v>2695.7240000000002</v>
      </c>
    </row>
    <row r="139" spans="4:6" x14ac:dyDescent="0.25">
      <c r="D139" s="16">
        <v>29129</v>
      </c>
      <c r="E139" s="46">
        <v>2723.8829999999998</v>
      </c>
    </row>
    <row r="140" spans="4:6" x14ac:dyDescent="0.25">
      <c r="D140" s="16">
        <v>29221</v>
      </c>
      <c r="E140" s="46">
        <v>2789.8420000000001</v>
      </c>
    </row>
    <row r="141" spans="4:6" x14ac:dyDescent="0.25">
      <c r="D141" s="16">
        <v>29312</v>
      </c>
      <c r="E141" s="46">
        <v>2797.3519999999999</v>
      </c>
    </row>
    <row r="142" spans="4:6" x14ac:dyDescent="0.25">
      <c r="D142" s="16">
        <v>29403</v>
      </c>
      <c r="E142" s="46">
        <v>2856.4830000000002</v>
      </c>
      <c r="F142">
        <f>(E142+E143)/2</f>
        <v>2921.02</v>
      </c>
    </row>
    <row r="143" spans="4:6" x14ac:dyDescent="0.25">
      <c r="D143" s="16">
        <v>29495</v>
      </c>
      <c r="E143" s="46">
        <v>2985.5569999999998</v>
      </c>
    </row>
    <row r="144" spans="4:6" x14ac:dyDescent="0.25">
      <c r="D144" s="16">
        <v>29587</v>
      </c>
      <c r="E144" s="46">
        <v>3124.2060000000001</v>
      </c>
    </row>
    <row r="145" spans="4:6" x14ac:dyDescent="0.25">
      <c r="D145" s="16">
        <v>29677</v>
      </c>
      <c r="E145" s="46">
        <v>3162.5320000000002</v>
      </c>
    </row>
    <row r="146" spans="4:6" x14ac:dyDescent="0.25">
      <c r="D146" s="16">
        <v>29768</v>
      </c>
      <c r="E146" s="46">
        <v>3260.6089999999999</v>
      </c>
      <c r="F146">
        <f>(E146+E147)/2</f>
        <v>3270.7134999999998</v>
      </c>
    </row>
    <row r="147" spans="4:6" x14ac:dyDescent="0.25">
      <c r="D147" s="16">
        <v>29860</v>
      </c>
      <c r="E147" s="46">
        <v>3280.8180000000002</v>
      </c>
    </row>
    <row r="148" spans="4:6" x14ac:dyDescent="0.25">
      <c r="D148" s="16">
        <v>29952</v>
      </c>
      <c r="E148" s="46">
        <v>3274.3020000000001</v>
      </c>
    </row>
    <row r="149" spans="4:6" x14ac:dyDescent="0.25">
      <c r="D149" s="16">
        <v>30042</v>
      </c>
      <c r="E149" s="46">
        <v>3331.9720000000002</v>
      </c>
    </row>
    <row r="150" spans="4:6" x14ac:dyDescent="0.25">
      <c r="D150" s="16">
        <v>30133</v>
      </c>
      <c r="E150" s="46">
        <v>3366.3220000000001</v>
      </c>
      <c r="F150">
        <f>(E150+E151)/2</f>
        <v>3384.4414999999999</v>
      </c>
    </row>
    <row r="151" spans="4:6" x14ac:dyDescent="0.25">
      <c r="D151" s="16">
        <v>30225</v>
      </c>
      <c r="E151" s="46">
        <v>3402.5610000000001</v>
      </c>
    </row>
    <row r="152" spans="4:6" x14ac:dyDescent="0.25">
      <c r="D152" s="16">
        <v>30317</v>
      </c>
      <c r="E152" s="46">
        <v>3473.413</v>
      </c>
    </row>
    <row r="153" spans="4:6" x14ac:dyDescent="0.25">
      <c r="D153" s="16">
        <v>30407</v>
      </c>
      <c r="E153" s="46">
        <v>3578.848</v>
      </c>
    </row>
    <row r="154" spans="4:6" x14ac:dyDescent="0.25">
      <c r="D154" s="16">
        <v>30498</v>
      </c>
      <c r="E154" s="46">
        <v>3689.1790000000001</v>
      </c>
      <c r="F154">
        <f>(E154+E155)/2</f>
        <v>3741.9425000000001</v>
      </c>
    </row>
    <row r="155" spans="4:6" x14ac:dyDescent="0.25">
      <c r="D155" s="16">
        <v>30590</v>
      </c>
      <c r="E155" s="46">
        <v>3794.7060000000001</v>
      </c>
    </row>
    <row r="156" spans="4:6" x14ac:dyDescent="0.25">
      <c r="D156" s="16">
        <v>30682</v>
      </c>
      <c r="E156" s="46">
        <v>3908.0540000000001</v>
      </c>
    </row>
    <row r="157" spans="4:6" x14ac:dyDescent="0.25">
      <c r="D157" s="16">
        <v>30773</v>
      </c>
      <c r="E157" s="46">
        <v>4009.6010000000001</v>
      </c>
    </row>
    <row r="158" spans="4:6" x14ac:dyDescent="0.25">
      <c r="D158" s="16">
        <v>30864</v>
      </c>
      <c r="E158" s="46">
        <v>4084.25</v>
      </c>
      <c r="F158">
        <f>(E158+E159)/2</f>
        <v>4116.4004999999997</v>
      </c>
    </row>
    <row r="159" spans="4:6" x14ac:dyDescent="0.25">
      <c r="D159" s="16">
        <v>30956</v>
      </c>
      <c r="E159" s="46">
        <v>4148.5510000000004</v>
      </c>
    </row>
    <row r="160" spans="4:6" x14ac:dyDescent="0.25">
      <c r="D160" s="16">
        <v>31048</v>
      </c>
      <c r="E160" s="46">
        <v>4230.1679999999997</v>
      </c>
    </row>
    <row r="161" spans="4:6" x14ac:dyDescent="0.25">
      <c r="D161" s="16">
        <v>31138</v>
      </c>
      <c r="E161" s="46">
        <v>4294.8869999999997</v>
      </c>
    </row>
    <row r="162" spans="4:6" x14ac:dyDescent="0.25">
      <c r="D162" s="16">
        <v>31229</v>
      </c>
      <c r="E162" s="46">
        <v>4386.7730000000001</v>
      </c>
      <c r="F162">
        <f>(E162+E163)/2</f>
        <v>4415.4335000000001</v>
      </c>
    </row>
    <row r="163" spans="4:6" x14ac:dyDescent="0.25">
      <c r="D163" s="16">
        <v>31321</v>
      </c>
      <c r="E163" s="46">
        <v>4444.0940000000001</v>
      </c>
    </row>
    <row r="164" spans="4:6" x14ac:dyDescent="0.25">
      <c r="D164" s="16">
        <v>31413</v>
      </c>
      <c r="E164" s="46">
        <v>4507.8940000000002</v>
      </c>
    </row>
    <row r="165" spans="4:6" x14ac:dyDescent="0.25">
      <c r="D165" s="16">
        <v>31503</v>
      </c>
      <c r="E165" s="46">
        <v>4545.34</v>
      </c>
    </row>
    <row r="166" spans="4:6" x14ac:dyDescent="0.25">
      <c r="D166" s="16">
        <v>31594</v>
      </c>
      <c r="E166" s="46">
        <v>4607.6689999999999</v>
      </c>
      <c r="F166">
        <f>(E166+E167)/2</f>
        <v>4632.6480000000001</v>
      </c>
    </row>
    <row r="167" spans="4:6" x14ac:dyDescent="0.25">
      <c r="D167" s="16">
        <v>31686</v>
      </c>
      <c r="E167" s="46">
        <v>4657.6270000000004</v>
      </c>
    </row>
    <row r="168" spans="4:6" x14ac:dyDescent="0.25">
      <c r="D168" s="16">
        <v>31778</v>
      </c>
      <c r="E168" s="46">
        <v>4722.1559999999999</v>
      </c>
    </row>
    <row r="169" spans="4:6" x14ac:dyDescent="0.25">
      <c r="D169" s="16">
        <v>31868</v>
      </c>
      <c r="E169" s="46">
        <v>4806.16</v>
      </c>
    </row>
    <row r="170" spans="4:6" x14ac:dyDescent="0.25">
      <c r="D170" s="16">
        <v>31959</v>
      </c>
      <c r="E170" s="46">
        <v>4884.5550000000003</v>
      </c>
      <c r="F170">
        <f>(E170+E171)/2</f>
        <v>4946.2744999999995</v>
      </c>
    </row>
    <row r="171" spans="4:6" x14ac:dyDescent="0.25">
      <c r="D171" s="16">
        <v>32051</v>
      </c>
      <c r="E171" s="46">
        <v>5007.9939999999997</v>
      </c>
    </row>
    <row r="172" spans="4:6" x14ac:dyDescent="0.25">
      <c r="D172" s="16">
        <v>32143</v>
      </c>
      <c r="E172" s="46">
        <v>5073.3720000000003</v>
      </c>
    </row>
    <row r="173" spans="4:6" x14ac:dyDescent="0.25">
      <c r="D173" s="16">
        <v>32234</v>
      </c>
      <c r="E173" s="46">
        <v>5190.0360000000001</v>
      </c>
    </row>
    <row r="174" spans="4:6" x14ac:dyDescent="0.25">
      <c r="D174" s="16">
        <v>32325</v>
      </c>
      <c r="E174" s="46">
        <v>5282.835</v>
      </c>
      <c r="F174">
        <f>(E174+E175)/2</f>
        <v>5341.1720000000005</v>
      </c>
    </row>
    <row r="175" spans="4:6" x14ac:dyDescent="0.25">
      <c r="D175" s="16">
        <v>32417</v>
      </c>
      <c r="E175" s="46">
        <v>5399.509</v>
      </c>
    </row>
    <row r="176" spans="4:6" x14ac:dyDescent="0.25">
      <c r="D176" s="16">
        <v>32509</v>
      </c>
      <c r="E176" s="46">
        <v>5511.2529999999997</v>
      </c>
    </row>
    <row r="177" spans="4:6" x14ac:dyDescent="0.25">
      <c r="D177" s="16">
        <v>32599</v>
      </c>
      <c r="E177" s="46">
        <v>5612.4629999999997</v>
      </c>
    </row>
    <row r="178" spans="4:6" x14ac:dyDescent="0.25">
      <c r="D178" s="16">
        <v>32690</v>
      </c>
      <c r="E178" s="46">
        <v>5695.3649999999998</v>
      </c>
      <c r="F178">
        <f>(E178+E179)/2</f>
        <v>5721.3009999999995</v>
      </c>
    </row>
    <row r="179" spans="4:6" x14ac:dyDescent="0.25">
      <c r="D179" s="16">
        <v>32782</v>
      </c>
      <c r="E179" s="46">
        <v>5747.2370000000001</v>
      </c>
    </row>
    <row r="180" spans="4:6" x14ac:dyDescent="0.25">
      <c r="D180" s="16">
        <v>32874</v>
      </c>
      <c r="E180" s="46">
        <v>5872.701</v>
      </c>
    </row>
    <row r="181" spans="4:6" x14ac:dyDescent="0.25">
      <c r="D181" s="16">
        <v>32964</v>
      </c>
      <c r="E181" s="46">
        <v>5960.0280000000002</v>
      </c>
    </row>
    <row r="182" spans="4:6" x14ac:dyDescent="0.25">
      <c r="D182" s="16">
        <v>33055</v>
      </c>
      <c r="E182" s="46">
        <v>6015.116</v>
      </c>
      <c r="F182">
        <f>(E182+E183)/2</f>
        <v>6009.9245000000001</v>
      </c>
    </row>
    <row r="183" spans="4:6" x14ac:dyDescent="0.25">
      <c r="D183" s="16">
        <v>33147</v>
      </c>
      <c r="E183" s="46">
        <v>6004.7330000000002</v>
      </c>
    </row>
    <row r="184" spans="4:6" x14ac:dyDescent="0.25">
      <c r="D184" s="16">
        <v>33239</v>
      </c>
      <c r="E184" s="46">
        <v>6035.1779999999999</v>
      </c>
    </row>
    <row r="185" spans="4:6" x14ac:dyDescent="0.25">
      <c r="D185" s="16">
        <v>33329</v>
      </c>
      <c r="E185" s="46">
        <v>6126.8620000000001</v>
      </c>
    </row>
    <row r="186" spans="4:6" x14ac:dyDescent="0.25">
      <c r="D186" s="16">
        <v>33420</v>
      </c>
      <c r="E186" s="46">
        <v>6205.9369999999999</v>
      </c>
      <c r="F186">
        <f>(E186+E187)/2</f>
        <v>6235.2384999999995</v>
      </c>
    </row>
    <row r="187" spans="4:6" x14ac:dyDescent="0.25">
      <c r="D187" s="16">
        <v>33512</v>
      </c>
      <c r="E187" s="46">
        <v>6264.54</v>
      </c>
    </row>
    <row r="188" spans="4:6" x14ac:dyDescent="0.25">
      <c r="D188" s="16">
        <v>33604</v>
      </c>
      <c r="E188" s="46">
        <v>6363.1019999999999</v>
      </c>
    </row>
    <row r="189" spans="4:6" x14ac:dyDescent="0.25">
      <c r="D189" s="16">
        <v>33695</v>
      </c>
      <c r="E189" s="46">
        <v>6470.7629999999999</v>
      </c>
    </row>
    <row r="190" spans="4:6" x14ac:dyDescent="0.25">
      <c r="D190" s="16">
        <v>33786</v>
      </c>
      <c r="E190" s="46">
        <v>6566.6409999999996</v>
      </c>
      <c r="F190">
        <f>(E190+E191)/2</f>
        <v>6623.7219999999998</v>
      </c>
    </row>
    <row r="191" spans="4:6" x14ac:dyDescent="0.25">
      <c r="D191" s="16">
        <v>33878</v>
      </c>
      <c r="E191" s="46">
        <v>6680.8029999999999</v>
      </c>
    </row>
    <row r="192" spans="4:6" x14ac:dyDescent="0.25">
      <c r="D192" s="16">
        <v>33970</v>
      </c>
      <c r="E192" s="46">
        <v>6729.4589999999998</v>
      </c>
    </row>
    <row r="193" spans="4:6" x14ac:dyDescent="0.25">
      <c r="D193" s="16">
        <v>34060</v>
      </c>
      <c r="E193" s="46">
        <v>6808.9390000000003</v>
      </c>
    </row>
    <row r="194" spans="4:6" x14ac:dyDescent="0.25">
      <c r="D194" s="16">
        <v>34151</v>
      </c>
      <c r="E194" s="46">
        <v>6882.098</v>
      </c>
      <c r="F194">
        <f>(E194+E195)/2</f>
        <v>6947.9179999999997</v>
      </c>
    </row>
    <row r="195" spans="4:6" x14ac:dyDescent="0.25">
      <c r="D195" s="16">
        <v>34243</v>
      </c>
      <c r="E195" s="46">
        <v>7013.7380000000003</v>
      </c>
    </row>
    <row r="196" spans="4:6" x14ac:dyDescent="0.25">
      <c r="D196" s="16">
        <v>34335</v>
      </c>
      <c r="E196" s="46">
        <v>7115.652</v>
      </c>
    </row>
    <row r="197" spans="4:6" x14ac:dyDescent="0.25">
      <c r="D197" s="16">
        <v>34425</v>
      </c>
      <c r="E197" s="46">
        <v>7246.9309999999996</v>
      </c>
    </row>
    <row r="198" spans="4:6" x14ac:dyDescent="0.25">
      <c r="D198" s="16">
        <v>34516</v>
      </c>
      <c r="E198" s="46">
        <v>7331.0749999999998</v>
      </c>
      <c r="F198">
        <f>(E198+E199)/2</f>
        <v>7393.1814999999997</v>
      </c>
    </row>
    <row r="199" spans="4:6" x14ac:dyDescent="0.25">
      <c r="D199" s="16">
        <v>34608</v>
      </c>
      <c r="E199" s="46">
        <v>7455.2879999999996</v>
      </c>
    </row>
    <row r="200" spans="4:6" x14ac:dyDescent="0.25">
      <c r="D200" s="16">
        <v>34700</v>
      </c>
      <c r="E200" s="46">
        <v>7522.2889999999998</v>
      </c>
    </row>
    <row r="201" spans="4:6" x14ac:dyDescent="0.25">
      <c r="D201" s="16">
        <v>34790</v>
      </c>
      <c r="E201" s="46">
        <v>7580.9970000000003</v>
      </c>
    </row>
    <row r="202" spans="4:6" x14ac:dyDescent="0.25">
      <c r="D202" s="16">
        <v>34881</v>
      </c>
      <c r="E202" s="46">
        <v>7683.125</v>
      </c>
      <c r="F202">
        <f>(E202+E203)/2</f>
        <v>7727.8554999999997</v>
      </c>
    </row>
    <row r="203" spans="4:6" x14ac:dyDescent="0.25">
      <c r="D203" s="16">
        <v>34973</v>
      </c>
      <c r="E203" s="46">
        <v>7772.5860000000002</v>
      </c>
    </row>
    <row r="204" spans="4:6" x14ac:dyDescent="0.25">
      <c r="D204" s="16">
        <v>35065</v>
      </c>
      <c r="E204" s="46">
        <v>7868.4679999999998</v>
      </c>
    </row>
    <row r="205" spans="4:6" x14ac:dyDescent="0.25">
      <c r="D205" s="16">
        <v>35156</v>
      </c>
      <c r="E205" s="46">
        <v>8032.84</v>
      </c>
    </row>
    <row r="206" spans="4:6" x14ac:dyDescent="0.25">
      <c r="D206" s="16">
        <v>35247</v>
      </c>
      <c r="E206" s="46">
        <v>8131.4080000000004</v>
      </c>
      <c r="F206">
        <f>(E206+E207)/2</f>
        <v>8195.5895</v>
      </c>
    </row>
    <row r="207" spans="4:6" x14ac:dyDescent="0.25">
      <c r="D207" s="16">
        <v>35339</v>
      </c>
      <c r="E207" s="46">
        <v>8259.7710000000006</v>
      </c>
    </row>
    <row r="208" spans="4:6" x14ac:dyDescent="0.25">
      <c r="D208" s="16">
        <v>35431</v>
      </c>
      <c r="E208" s="46">
        <v>8362.6550000000007</v>
      </c>
    </row>
    <row r="209" spans="4:6" x14ac:dyDescent="0.25">
      <c r="D209" s="16">
        <v>35521</v>
      </c>
      <c r="E209" s="46">
        <v>8518.8250000000007</v>
      </c>
    </row>
    <row r="210" spans="4:6" x14ac:dyDescent="0.25">
      <c r="D210" s="16">
        <v>35612</v>
      </c>
      <c r="E210" s="46">
        <v>8662.8230000000003</v>
      </c>
      <c r="F210">
        <f>(E210+E211)/2</f>
        <v>8714.3649999999998</v>
      </c>
    </row>
    <row r="211" spans="4:6" x14ac:dyDescent="0.25">
      <c r="D211" s="16">
        <v>35704</v>
      </c>
      <c r="E211" s="46">
        <v>8765.9069999999992</v>
      </c>
    </row>
    <row r="212" spans="4:6" x14ac:dyDescent="0.25">
      <c r="D212" s="16">
        <v>35796</v>
      </c>
      <c r="E212" s="46">
        <v>8866.48</v>
      </c>
    </row>
    <row r="213" spans="4:6" x14ac:dyDescent="0.25">
      <c r="D213" s="16">
        <v>35886</v>
      </c>
      <c r="E213" s="46">
        <v>8969.6990000000005</v>
      </c>
    </row>
    <row r="214" spans="4:6" x14ac:dyDescent="0.25">
      <c r="D214" s="16">
        <v>35977</v>
      </c>
      <c r="E214" s="46">
        <v>9121.0969999999998</v>
      </c>
      <c r="F214">
        <f>(E214+E215)/2</f>
        <v>9207.5439999999999</v>
      </c>
    </row>
    <row r="215" spans="4:6" x14ac:dyDescent="0.25">
      <c r="D215" s="16">
        <v>36069</v>
      </c>
      <c r="E215" s="46">
        <v>9293.991</v>
      </c>
    </row>
    <row r="216" spans="4:6" x14ac:dyDescent="0.25">
      <c r="D216" s="16">
        <v>36161</v>
      </c>
      <c r="E216" s="46">
        <v>9417.2639999999992</v>
      </c>
    </row>
    <row r="217" spans="4:6" x14ac:dyDescent="0.25">
      <c r="D217" s="16">
        <v>36251</v>
      </c>
      <c r="E217" s="46">
        <v>9524.152</v>
      </c>
    </row>
    <row r="218" spans="4:6" x14ac:dyDescent="0.25">
      <c r="D218" s="16">
        <v>36342</v>
      </c>
      <c r="E218" s="46">
        <v>9681.8559999999998</v>
      </c>
      <c r="F218">
        <f>(E218+E219)/2</f>
        <v>9790.6170000000002</v>
      </c>
    </row>
    <row r="219" spans="4:6" x14ac:dyDescent="0.25">
      <c r="D219" s="16">
        <v>36434</v>
      </c>
      <c r="E219" s="46">
        <v>9899.3780000000006</v>
      </c>
    </row>
    <row r="220" spans="4:6" x14ac:dyDescent="0.25">
      <c r="D220" s="16">
        <v>36526</v>
      </c>
      <c r="E220" s="46">
        <v>10002.857</v>
      </c>
    </row>
    <row r="221" spans="4:6" x14ac:dyDescent="0.25">
      <c r="D221" s="16">
        <v>36617</v>
      </c>
      <c r="E221" s="46">
        <v>10247.679</v>
      </c>
    </row>
    <row r="222" spans="4:6" x14ac:dyDescent="0.25">
      <c r="D222" s="16">
        <v>36708</v>
      </c>
      <c r="E222" s="46">
        <v>10319.825000000001</v>
      </c>
      <c r="F222">
        <f>(E222+E223)/2</f>
        <v>10379.424999999999</v>
      </c>
    </row>
    <row r="223" spans="4:6" x14ac:dyDescent="0.25">
      <c r="D223" s="16">
        <v>36800</v>
      </c>
      <c r="E223" s="46">
        <v>10439.025</v>
      </c>
    </row>
    <row r="224" spans="4:6" x14ac:dyDescent="0.25">
      <c r="D224" s="16">
        <v>36892</v>
      </c>
      <c r="E224" s="46">
        <v>10472.879000000001</v>
      </c>
    </row>
    <row r="225" spans="4:6" x14ac:dyDescent="0.25">
      <c r="D225" s="16">
        <v>36982</v>
      </c>
      <c r="E225" s="46">
        <v>10597.822</v>
      </c>
    </row>
    <row r="226" spans="4:6" x14ac:dyDescent="0.25">
      <c r="D226" s="16">
        <v>37073</v>
      </c>
      <c r="E226" s="46">
        <v>10596.294</v>
      </c>
      <c r="F226">
        <f>(E226+E227)/2</f>
        <v>10628.294</v>
      </c>
    </row>
    <row r="227" spans="4:6" x14ac:dyDescent="0.25">
      <c r="D227" s="16">
        <v>37165</v>
      </c>
      <c r="E227" s="46">
        <v>10660.294</v>
      </c>
    </row>
    <row r="228" spans="4:6" x14ac:dyDescent="0.25">
      <c r="D228" s="16">
        <v>37257</v>
      </c>
      <c r="E228" s="46">
        <v>10788.951999999999</v>
      </c>
    </row>
    <row r="229" spans="4:6" x14ac:dyDescent="0.25">
      <c r="D229" s="16">
        <v>37347</v>
      </c>
      <c r="E229" s="46">
        <v>10893.207</v>
      </c>
    </row>
    <row r="230" spans="4:6" x14ac:dyDescent="0.25">
      <c r="D230" s="16">
        <v>37438</v>
      </c>
      <c r="E230" s="46">
        <v>10992.050999999999</v>
      </c>
      <c r="F230">
        <f>(E230+E231)/2</f>
        <v>11031.757</v>
      </c>
    </row>
    <row r="231" spans="4:6" x14ac:dyDescent="0.25">
      <c r="D231" s="16">
        <v>37530</v>
      </c>
      <c r="E231" s="46">
        <v>11071.463</v>
      </c>
    </row>
    <row r="232" spans="4:6" x14ac:dyDescent="0.25">
      <c r="D232" s="16">
        <v>37622</v>
      </c>
      <c r="E232" s="46">
        <v>11183.507</v>
      </c>
    </row>
    <row r="233" spans="4:6" x14ac:dyDescent="0.25">
      <c r="D233" s="16">
        <v>37712</v>
      </c>
      <c r="E233" s="46">
        <v>11312.875</v>
      </c>
    </row>
    <row r="234" spans="4:6" x14ac:dyDescent="0.25">
      <c r="D234" s="16">
        <v>37803</v>
      </c>
      <c r="E234" s="46">
        <v>11567.325999999999</v>
      </c>
      <c r="F234">
        <f>(E234+E235)/2</f>
        <v>11668.300499999999</v>
      </c>
    </row>
    <row r="235" spans="4:6" x14ac:dyDescent="0.25">
      <c r="D235" s="16">
        <v>37895</v>
      </c>
      <c r="E235" s="46">
        <v>11769.275</v>
      </c>
    </row>
    <row r="236" spans="4:6" x14ac:dyDescent="0.25">
      <c r="D236" s="16">
        <v>37987</v>
      </c>
      <c r="E236" s="46">
        <v>11920.169</v>
      </c>
    </row>
    <row r="237" spans="4:6" x14ac:dyDescent="0.25">
      <c r="D237" s="16">
        <v>38078</v>
      </c>
      <c r="E237" s="46">
        <v>12108.986999999999</v>
      </c>
    </row>
    <row r="238" spans="4:6" x14ac:dyDescent="0.25">
      <c r="D238" s="16">
        <v>38169</v>
      </c>
      <c r="E238" s="46">
        <v>12303.34</v>
      </c>
      <c r="F238">
        <f>(E238+E239)/2</f>
        <v>12412.8825</v>
      </c>
    </row>
    <row r="239" spans="4:6" x14ac:dyDescent="0.25">
      <c r="D239" s="16">
        <v>38261</v>
      </c>
      <c r="E239" s="46">
        <v>12522.424999999999</v>
      </c>
    </row>
    <row r="240" spans="4:6" x14ac:dyDescent="0.25">
      <c r="D240" s="16">
        <v>38353</v>
      </c>
      <c r="E240" s="46">
        <v>12761.337</v>
      </c>
    </row>
    <row r="241" spans="4:6" x14ac:dyDescent="0.25">
      <c r="D241" s="16">
        <v>38443</v>
      </c>
      <c r="E241" s="46">
        <v>12910.022000000001</v>
      </c>
    </row>
    <row r="242" spans="4:6" x14ac:dyDescent="0.25">
      <c r="D242" s="16">
        <v>38534</v>
      </c>
      <c r="E242" s="46">
        <v>13142.873</v>
      </c>
      <c r="F242">
        <f>(E242+E243)/2</f>
        <v>13237.594499999999</v>
      </c>
    </row>
    <row r="243" spans="4:6" x14ac:dyDescent="0.25">
      <c r="D243" s="16">
        <v>38626</v>
      </c>
      <c r="E243" s="46">
        <v>13332.316000000001</v>
      </c>
    </row>
    <row r="244" spans="4:6" x14ac:dyDescent="0.25">
      <c r="D244" s="16">
        <v>38718</v>
      </c>
      <c r="E244" s="46">
        <v>13603.933000000001</v>
      </c>
    </row>
    <row r="245" spans="4:6" x14ac:dyDescent="0.25">
      <c r="D245" s="16">
        <v>38808</v>
      </c>
      <c r="E245" s="46">
        <v>13749.806</v>
      </c>
    </row>
    <row r="246" spans="4:6" x14ac:dyDescent="0.25">
      <c r="D246" s="16">
        <v>38899</v>
      </c>
      <c r="E246" s="46">
        <v>13867.468999999999</v>
      </c>
      <c r="F246">
        <f>(E246+E247)/2</f>
        <v>13952.3485</v>
      </c>
    </row>
    <row r="247" spans="4:6" x14ac:dyDescent="0.25">
      <c r="D247" s="16">
        <v>38991</v>
      </c>
      <c r="E247" s="46">
        <v>14037.227999999999</v>
      </c>
    </row>
    <row r="248" spans="4:6" x14ac:dyDescent="0.25">
      <c r="D248" s="16">
        <v>39083</v>
      </c>
      <c r="E248" s="46">
        <v>14208.569</v>
      </c>
    </row>
    <row r="249" spans="4:6" x14ac:dyDescent="0.25">
      <c r="D249" s="16">
        <v>39173</v>
      </c>
      <c r="E249" s="46">
        <v>14382.362999999999</v>
      </c>
    </row>
    <row r="250" spans="4:6" x14ac:dyDescent="0.25">
      <c r="D250" s="16">
        <v>39264</v>
      </c>
      <c r="E250" s="46">
        <v>14535.003000000001</v>
      </c>
      <c r="F250">
        <f>(E250+E251)/2</f>
        <v>14608.252</v>
      </c>
    </row>
    <row r="251" spans="4:6" x14ac:dyDescent="0.25">
      <c r="D251" s="16">
        <v>39356</v>
      </c>
      <c r="E251" s="46">
        <v>14681.501</v>
      </c>
    </row>
    <row r="252" spans="4:6" x14ac:dyDescent="0.25">
      <c r="D252" s="16">
        <v>39448</v>
      </c>
      <c r="E252" s="46">
        <v>14651.039000000001</v>
      </c>
    </row>
    <row r="253" spans="4:6" x14ac:dyDescent="0.25">
      <c r="D253" s="16">
        <v>39539</v>
      </c>
      <c r="E253" s="46">
        <v>14805.611000000001</v>
      </c>
    </row>
    <row r="254" spans="4:6" x14ac:dyDescent="0.25">
      <c r="D254" s="16">
        <v>39630</v>
      </c>
      <c r="E254" s="46">
        <v>14835.187</v>
      </c>
      <c r="F254">
        <f>(E254+E255)/2</f>
        <v>14697.365</v>
      </c>
    </row>
    <row r="255" spans="4:6" x14ac:dyDescent="0.25">
      <c r="D255" s="16">
        <v>39722</v>
      </c>
      <c r="E255" s="46">
        <v>14559.543</v>
      </c>
    </row>
    <row r="256" spans="4:6" x14ac:dyDescent="0.25">
      <c r="D256" s="16">
        <v>39814</v>
      </c>
      <c r="E256" s="46">
        <v>14394.547</v>
      </c>
    </row>
    <row r="257" spans="4:6" x14ac:dyDescent="0.25">
      <c r="D257" s="16">
        <v>39904</v>
      </c>
      <c r="E257" s="46">
        <v>14352.85</v>
      </c>
    </row>
    <row r="258" spans="4:6" x14ac:dyDescent="0.25">
      <c r="D258" s="16">
        <v>39995</v>
      </c>
      <c r="E258" s="46">
        <v>14420.312</v>
      </c>
      <c r="F258">
        <f>(E258+E259)/2</f>
        <v>14524.166499999999</v>
      </c>
    </row>
    <row r="259" spans="4:6" x14ac:dyDescent="0.25">
      <c r="D259" s="16">
        <v>40087</v>
      </c>
      <c r="E259" s="46">
        <v>14628.021000000001</v>
      </c>
    </row>
    <row r="260" spans="4:6" x14ac:dyDescent="0.25">
      <c r="D260" s="16">
        <v>40179</v>
      </c>
      <c r="E260" s="46">
        <v>14721.35</v>
      </c>
    </row>
    <row r="261" spans="4:6" x14ac:dyDescent="0.25">
      <c r="D261" s="16">
        <v>40269</v>
      </c>
      <c r="E261" s="46">
        <v>14926.098</v>
      </c>
    </row>
    <row r="262" spans="4:6" x14ac:dyDescent="0.25">
      <c r="D262" s="16">
        <v>40360</v>
      </c>
      <c r="E262" s="46">
        <v>15079.916999999999</v>
      </c>
      <c r="F262">
        <f>(E262+E263)/2</f>
        <v>15160.380000000001</v>
      </c>
    </row>
    <row r="263" spans="4:6" x14ac:dyDescent="0.25">
      <c r="D263" s="16">
        <v>40452</v>
      </c>
      <c r="E263" s="46">
        <v>15240.843000000001</v>
      </c>
    </row>
    <row r="264" spans="4:6" x14ac:dyDescent="0.25">
      <c r="D264" s="16">
        <v>40544</v>
      </c>
      <c r="E264" s="46">
        <v>15285.828</v>
      </c>
    </row>
    <row r="265" spans="4:6" x14ac:dyDescent="0.25">
      <c r="D265" s="16">
        <v>40634</v>
      </c>
      <c r="E265" s="46">
        <v>15496.189</v>
      </c>
    </row>
    <row r="266" spans="4:6" x14ac:dyDescent="0.25">
      <c r="D266" s="16">
        <v>40725</v>
      </c>
      <c r="E266" s="46">
        <v>15591.85</v>
      </c>
      <c r="F266">
        <f>(E266+E267)/2</f>
        <v>15694.154999999999</v>
      </c>
    </row>
    <row r="267" spans="4:6" x14ac:dyDescent="0.25">
      <c r="D267" s="16">
        <v>40817</v>
      </c>
      <c r="E267" s="46">
        <v>15796.46</v>
      </c>
    </row>
    <row r="268" spans="4:6" x14ac:dyDescent="0.25">
      <c r="D268" s="16">
        <v>40909</v>
      </c>
      <c r="E268" s="46">
        <v>16019.758</v>
      </c>
    </row>
    <row r="269" spans="4:6" x14ac:dyDescent="0.25">
      <c r="D269" s="16">
        <v>41000</v>
      </c>
      <c r="E269" s="46">
        <v>16152.257</v>
      </c>
    </row>
    <row r="270" spans="4:6" x14ac:dyDescent="0.25">
      <c r="D270" s="16">
        <v>41091</v>
      </c>
      <c r="E270" s="46">
        <v>16257.151</v>
      </c>
      <c r="F270">
        <f>(E270+E271)/2</f>
        <v>16308.007</v>
      </c>
    </row>
    <row r="271" spans="4:6" x14ac:dyDescent="0.25">
      <c r="D271" s="16">
        <v>41183</v>
      </c>
      <c r="E271" s="46">
        <v>16358.862999999999</v>
      </c>
    </row>
    <row r="272" spans="4:6" x14ac:dyDescent="0.25">
      <c r="D272" s="16">
        <v>41275</v>
      </c>
      <c r="E272" s="46">
        <v>16569.591</v>
      </c>
    </row>
    <row r="273" spans="2:8" x14ac:dyDescent="0.25">
      <c r="D273" s="16">
        <v>41365</v>
      </c>
      <c r="E273" s="46">
        <v>16637.925999999999</v>
      </c>
    </row>
    <row r="274" spans="2:8" x14ac:dyDescent="0.25">
      <c r="D274" s="16">
        <v>41456</v>
      </c>
      <c r="E274" s="46">
        <v>16848.748</v>
      </c>
      <c r="F274">
        <f>(E274+E275)/2</f>
        <v>16965.942499999997</v>
      </c>
      <c r="H274" s="19"/>
    </row>
    <row r="275" spans="2:8" x14ac:dyDescent="0.25">
      <c r="D275" s="16">
        <v>41548</v>
      </c>
      <c r="E275" s="46">
        <v>17083.136999999999</v>
      </c>
    </row>
    <row r="276" spans="2:8" x14ac:dyDescent="0.25">
      <c r="D276" s="16">
        <v>41640</v>
      </c>
      <c r="E276" s="46">
        <v>17102.932000000001</v>
      </c>
    </row>
    <row r="277" spans="2:8" x14ac:dyDescent="0.25">
      <c r="D277" s="16">
        <v>41730</v>
      </c>
      <c r="E277" s="46">
        <v>17425.766</v>
      </c>
    </row>
    <row r="278" spans="2:8" x14ac:dyDescent="0.25">
      <c r="D278" s="16">
        <v>41821</v>
      </c>
      <c r="E278" s="46">
        <v>17719.835999999999</v>
      </c>
      <c r="F278">
        <f>(E278+E279)/2</f>
        <v>17779.145</v>
      </c>
      <c r="H278" s="19"/>
    </row>
    <row r="279" spans="2:8" x14ac:dyDescent="0.25">
      <c r="D279" s="16">
        <v>41913</v>
      </c>
      <c r="E279" s="46">
        <v>17838.454000000002</v>
      </c>
    </row>
    <row r="280" spans="2:8" x14ac:dyDescent="0.25">
      <c r="D280" s="16">
        <v>42005</v>
      </c>
      <c r="E280" s="46">
        <v>17970.421999999999</v>
      </c>
      <c r="G280" t="s">
        <v>189</v>
      </c>
    </row>
    <row r="281" spans="2:8" x14ac:dyDescent="0.25">
      <c r="B281" s="46">
        <v>2015</v>
      </c>
      <c r="C281" s="46">
        <f>AVERAGE(E280:E283)</f>
        <v>18219.2965</v>
      </c>
      <c r="D281" s="16">
        <v>42095</v>
      </c>
      <c r="E281" s="46">
        <v>18221.298999999999</v>
      </c>
      <c r="G281" t="s">
        <v>190</v>
      </c>
    </row>
    <row r="282" spans="2:8" x14ac:dyDescent="0.25">
      <c r="D282" s="16">
        <v>42186</v>
      </c>
      <c r="E282" s="46">
        <v>18331.093000000001</v>
      </c>
      <c r="F282">
        <f>(E282+E283)/2</f>
        <v>18342.732499999998</v>
      </c>
      <c r="G282" t="s">
        <v>191</v>
      </c>
    </row>
    <row r="283" spans="2:8" x14ac:dyDescent="0.25">
      <c r="D283" s="16">
        <v>42278</v>
      </c>
      <c r="E283" s="46">
        <v>18354.371999999999</v>
      </c>
      <c r="G283" t="s">
        <v>192</v>
      </c>
    </row>
    <row r="284" spans="2:8" x14ac:dyDescent="0.25">
      <c r="D284" s="16">
        <v>42370</v>
      </c>
      <c r="E284" s="46">
        <v>18409.13</v>
      </c>
    </row>
    <row r="285" spans="2:8" x14ac:dyDescent="0.25">
      <c r="D285" s="16">
        <v>42461</v>
      </c>
      <c r="E285" s="46">
        <v>18640.732</v>
      </c>
    </row>
    <row r="286" spans="2:8" x14ac:dyDescent="0.25">
      <c r="D286" s="16">
        <v>42552</v>
      </c>
      <c r="E286" s="85">
        <v>18799.648000000001</v>
      </c>
    </row>
    <row r="287" spans="2:8" x14ac:dyDescent="0.25">
      <c r="D287" s="16">
        <v>42644</v>
      </c>
      <c r="E287" s="85">
        <v>18979.244999999999</v>
      </c>
      <c r="F287" s="21">
        <f>(E286+E287)/2</f>
        <v>18889.446499999998</v>
      </c>
      <c r="G287" t="s">
        <v>193</v>
      </c>
    </row>
    <row r="288" spans="2:8" x14ac:dyDescent="0.25">
      <c r="D288" s="16">
        <v>42736</v>
      </c>
      <c r="E288" s="46">
        <v>19162.55</v>
      </c>
      <c r="F288" s="21">
        <f t="shared" ref="F288:F299" si="12">(E287+E288)/2</f>
        <v>19070.897499999999</v>
      </c>
      <c r="G288" t="s">
        <v>194</v>
      </c>
    </row>
    <row r="289" spans="4:8" x14ac:dyDescent="0.25">
      <c r="D289" s="16">
        <v>42826</v>
      </c>
      <c r="E289" s="46">
        <v>19359.123</v>
      </c>
      <c r="F289" s="21">
        <f t="shared" si="12"/>
        <v>19260.836499999998</v>
      </c>
    </row>
    <row r="290" spans="4:8" x14ac:dyDescent="0.25">
      <c r="D290" s="16">
        <v>42917</v>
      </c>
      <c r="E290" s="46">
        <v>19588.074000000001</v>
      </c>
      <c r="F290" s="21">
        <f t="shared" si="12"/>
        <v>19473.5985</v>
      </c>
    </row>
    <row r="291" spans="4:8" x14ac:dyDescent="0.25">
      <c r="D291" s="16">
        <v>43009</v>
      </c>
      <c r="E291" s="46">
        <v>19831.829000000002</v>
      </c>
      <c r="F291" s="21">
        <f t="shared" si="12"/>
        <v>19709.951500000003</v>
      </c>
    </row>
    <row r="292" spans="4:8" x14ac:dyDescent="0.25">
      <c r="D292" s="16">
        <v>43101</v>
      </c>
      <c r="E292" s="46">
        <v>20041.046999999999</v>
      </c>
      <c r="F292" s="21">
        <f t="shared" si="12"/>
        <v>19936.438000000002</v>
      </c>
    </row>
    <row r="293" spans="4:8" x14ac:dyDescent="0.25">
      <c r="D293" s="16">
        <v>43191</v>
      </c>
      <c r="E293" s="46">
        <v>20411.923999999999</v>
      </c>
      <c r="F293" s="21">
        <f t="shared" si="12"/>
        <v>20226.485499999999</v>
      </c>
    </row>
    <row r="294" spans="4:8" x14ac:dyDescent="0.25">
      <c r="D294" s="16">
        <v>43282</v>
      </c>
      <c r="E294" s="46">
        <v>20658.204000000002</v>
      </c>
      <c r="F294" s="21">
        <f t="shared" si="12"/>
        <v>20535.063999999998</v>
      </c>
    </row>
    <row r="295" spans="4:8" x14ac:dyDescent="0.25">
      <c r="D295" s="16">
        <v>43374</v>
      </c>
      <c r="E295" s="46">
        <v>20865.14</v>
      </c>
      <c r="F295" s="21">
        <f t="shared" si="12"/>
        <v>20761.671999999999</v>
      </c>
    </row>
    <row r="296" spans="4:8" x14ac:dyDescent="0.25">
      <c r="D296" s="16">
        <v>43466</v>
      </c>
      <c r="E296" s="46">
        <v>21060.062000000002</v>
      </c>
      <c r="F296" s="21">
        <f t="shared" si="12"/>
        <v>20962.601000000002</v>
      </c>
    </row>
    <row r="297" spans="4:8" x14ac:dyDescent="0.25">
      <c r="D297" s="16">
        <v>43556</v>
      </c>
      <c r="E297" s="48">
        <f>E296+(E296-E294)/2</f>
        <v>21260.991000000002</v>
      </c>
      <c r="F297" s="21">
        <f t="shared" si="12"/>
        <v>21160.5265</v>
      </c>
    </row>
    <row r="298" spans="4:8" x14ac:dyDescent="0.25">
      <c r="D298" s="16">
        <v>43647</v>
      </c>
      <c r="E298" s="48">
        <f>E297+(E297-E295)/2</f>
        <v>21458.916500000003</v>
      </c>
      <c r="F298" s="21">
        <f t="shared" si="12"/>
        <v>21359.953750000001</v>
      </c>
      <c r="H298" s="19" t="s">
        <v>195</v>
      </c>
    </row>
    <row r="299" spans="4:8" x14ac:dyDescent="0.25">
      <c r="E299" s="48">
        <f>E298+(E298-E296)/2</f>
        <v>21658.343750000004</v>
      </c>
      <c r="F299" s="21">
        <f t="shared" si="12"/>
        <v>21558.630125000003</v>
      </c>
    </row>
    <row r="302" spans="4:8" x14ac:dyDescent="0.25">
      <c r="F302">
        <f>(E302+E303)/2</f>
        <v>0</v>
      </c>
      <c r="G302" s="48">
        <f>H285+(H285-H283)/2</f>
        <v>0</v>
      </c>
      <c r="H302" t="s">
        <v>185</v>
      </c>
    </row>
    <row r="303" spans="4:8" x14ac:dyDescent="0.25">
      <c r="G303" s="48">
        <f>G302+(G302-H284)/2</f>
        <v>0</v>
      </c>
    </row>
    <row r="306" spans="6:6" x14ac:dyDescent="0.25">
      <c r="F306">
        <f>(E306+E307)/2</f>
        <v>0</v>
      </c>
    </row>
    <row r="310" spans="6:6" x14ac:dyDescent="0.25">
      <c r="F310">
        <f>(E310+E311)/2</f>
        <v>0</v>
      </c>
    </row>
    <row r="314" spans="6:6" x14ac:dyDescent="0.25">
      <c r="F314">
        <f>(E314+E315)/2</f>
        <v>0</v>
      </c>
    </row>
    <row r="318" spans="6:6" x14ac:dyDescent="0.25">
      <c r="F318">
        <f>(E318+E319)/2</f>
        <v>0</v>
      </c>
    </row>
    <row r="322" spans="6:6" x14ac:dyDescent="0.25">
      <c r="F322">
        <f>(E322+E323)/2</f>
        <v>0</v>
      </c>
    </row>
    <row r="326" spans="6:6" x14ac:dyDescent="0.25">
      <c r="F326">
        <f>(E326+E327)/2</f>
        <v>0</v>
      </c>
    </row>
    <row r="330" spans="6:6" x14ac:dyDescent="0.25">
      <c r="F330">
        <f>(E330+E331)/2</f>
        <v>0</v>
      </c>
    </row>
    <row r="334" spans="6:6" x14ac:dyDescent="0.25">
      <c r="F334">
        <f>(E334+E335)/2</f>
        <v>0</v>
      </c>
    </row>
    <row r="338" spans="6:6" x14ac:dyDescent="0.25">
      <c r="F338">
        <f>(E338+E339)/2</f>
        <v>0</v>
      </c>
    </row>
    <row r="342" spans="6:6" x14ac:dyDescent="0.25">
      <c r="F342">
        <f>(E342+E343)/2</f>
        <v>0</v>
      </c>
    </row>
    <row r="346" spans="6:6" x14ac:dyDescent="0.25">
      <c r="F346">
        <f>(E346+E347)/2</f>
        <v>0</v>
      </c>
    </row>
    <row r="350" spans="6:6" x14ac:dyDescent="0.25">
      <c r="F350">
        <f>(E350+E351)/2</f>
        <v>0</v>
      </c>
    </row>
    <row r="354" spans="6:6" x14ac:dyDescent="0.25">
      <c r="F354">
        <f>(E354+E355)/2</f>
        <v>0</v>
      </c>
    </row>
    <row r="358" spans="6:6" x14ac:dyDescent="0.25">
      <c r="F358">
        <f>(E358+E359)/2</f>
        <v>0</v>
      </c>
    </row>
    <row r="362" spans="6:6" x14ac:dyDescent="0.25">
      <c r="F362">
        <f>(E362+E363)/2</f>
        <v>0</v>
      </c>
    </row>
    <row r="366" spans="6:6" x14ac:dyDescent="0.25">
      <c r="F366">
        <f>(E366+E367)/2</f>
        <v>0</v>
      </c>
    </row>
    <row r="370" spans="6:6" x14ac:dyDescent="0.25">
      <c r="F370">
        <f>(E370+E371)/2</f>
        <v>0</v>
      </c>
    </row>
    <row r="374" spans="6:6" x14ac:dyDescent="0.25">
      <c r="F374">
        <f>(E374+E375)/2</f>
        <v>0</v>
      </c>
    </row>
    <row r="378" spans="6:6" x14ac:dyDescent="0.25">
      <c r="F378">
        <f>(E378+E379)/2</f>
        <v>0</v>
      </c>
    </row>
    <row r="382" spans="6:6" x14ac:dyDescent="0.25">
      <c r="F382">
        <f>(E382+E383)/2</f>
        <v>0</v>
      </c>
    </row>
  </sheetData>
  <hyperlinks>
    <hyperlink ref="A5" r:id="rId1" xr:uid="{5F3C6AB2-A3F7-41E2-A626-79CC7667BC6E}"/>
    <hyperlink ref="D5" r:id="rId2" xr:uid="{1A29DE8E-B400-4E0D-AC3F-B558613B7C59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41"/>
  <sheetViews>
    <sheetView topLeftCell="A100" workbookViewId="0">
      <selection activeCell="B121" sqref="B121"/>
    </sheetView>
  </sheetViews>
  <sheetFormatPr defaultRowHeight="15" x14ac:dyDescent="0.25"/>
  <cols>
    <col min="1" max="1" width="16.140625" customWidth="1"/>
    <col min="2" max="2" width="10.7109375" style="52" customWidth="1"/>
    <col min="3" max="3" width="19.5703125" style="52" customWidth="1"/>
    <col min="4" max="4" width="18.28515625" customWidth="1"/>
    <col min="5" max="5" width="11.28515625" customWidth="1"/>
    <col min="7" max="7" width="11.7109375" customWidth="1"/>
    <col min="8" max="10" width="22.7109375" customWidth="1"/>
  </cols>
  <sheetData>
    <row r="2" spans="1:10" x14ac:dyDescent="0.25">
      <c r="D2" s="51" t="str">
        <f>"=TRIM(SUBSTITUTE(C6,CHAR(160),CHAR(32)))  &lt;== removes spaces and non-breaking spaces"</f>
        <v>=TRIM(SUBSTITUTE(C6,CHAR(160),CHAR(32)))  &lt;== removes spaces and non-breaking spaces</v>
      </c>
    </row>
    <row r="4" spans="1:10" x14ac:dyDescent="0.25">
      <c r="C4" s="52" t="s">
        <v>107</v>
      </c>
      <c r="G4" s="6" t="s">
        <v>3</v>
      </c>
    </row>
    <row r="5" spans="1:10" x14ac:dyDescent="0.25">
      <c r="A5" t="s">
        <v>105</v>
      </c>
      <c r="B5" s="15">
        <v>183</v>
      </c>
      <c r="C5" s="54" t="s">
        <v>104</v>
      </c>
      <c r="D5" s="18">
        <v>2136961091.6700001</v>
      </c>
      <c r="G5" s="15">
        <v>42627</v>
      </c>
      <c r="H5" s="55">
        <v>5374051700309.9697</v>
      </c>
      <c r="I5" s="55">
        <v>14134189871715.5</v>
      </c>
      <c r="J5" s="55">
        <v>19508241572025.5</v>
      </c>
    </row>
    <row r="6" spans="1:10" x14ac:dyDescent="0.25">
      <c r="B6" s="15">
        <v>548</v>
      </c>
      <c r="C6" s="54" t="s">
        <v>103</v>
      </c>
      <c r="D6" s="18">
        <v>2143326933.8900001</v>
      </c>
    </row>
    <row r="7" spans="1:10" x14ac:dyDescent="0.25">
      <c r="B7" s="15">
        <v>913</v>
      </c>
      <c r="C7" s="54" t="s">
        <v>102</v>
      </c>
      <c r="D7" s="18">
        <v>2158610445.8899999</v>
      </c>
    </row>
    <row r="8" spans="1:10" x14ac:dyDescent="0.25">
      <c r="B8" s="15">
        <v>1278</v>
      </c>
      <c r="C8" s="54" t="s">
        <v>101</v>
      </c>
      <c r="D8" s="18">
        <v>2202464781.8899999</v>
      </c>
    </row>
    <row r="9" spans="1:10" x14ac:dyDescent="0.25">
      <c r="B9" s="15">
        <v>1644</v>
      </c>
      <c r="C9" s="54" t="s">
        <v>100</v>
      </c>
      <c r="D9" s="18">
        <v>2264003585.1399999</v>
      </c>
    </row>
    <row r="10" spans="1:10" x14ac:dyDescent="0.25">
      <c r="B10" s="15">
        <v>2009</v>
      </c>
      <c r="C10" s="54" t="s">
        <v>99</v>
      </c>
      <c r="D10" s="18">
        <v>2274615063.8400002</v>
      </c>
    </row>
    <row r="11" spans="1:10" x14ac:dyDescent="0.25">
      <c r="B11" s="15">
        <v>2374</v>
      </c>
      <c r="C11" s="54" t="s">
        <v>98</v>
      </c>
      <c r="D11" s="18">
        <v>2337161839.04</v>
      </c>
    </row>
    <row r="12" spans="1:10" x14ac:dyDescent="0.25">
      <c r="B12" s="15">
        <v>2739</v>
      </c>
      <c r="C12" s="54" t="s">
        <v>97</v>
      </c>
      <c r="D12" s="18">
        <v>2457188061.54</v>
      </c>
    </row>
    <row r="13" spans="1:10" x14ac:dyDescent="0.25">
      <c r="B13" s="15">
        <v>3105</v>
      </c>
      <c r="C13" s="54" t="s">
        <v>96</v>
      </c>
      <c r="D13" s="18">
        <v>2626806271.54</v>
      </c>
    </row>
    <row r="14" spans="1:10" x14ac:dyDescent="0.25">
      <c r="B14" s="15">
        <v>3470</v>
      </c>
      <c r="C14" s="54" t="s">
        <v>95</v>
      </c>
      <c r="D14" s="18">
        <v>2639546241.04</v>
      </c>
    </row>
    <row r="15" spans="1:10" x14ac:dyDescent="0.25">
      <c r="B15" s="15">
        <v>3835</v>
      </c>
      <c r="C15" s="54" t="s">
        <v>94</v>
      </c>
      <c r="D15" s="18">
        <v>2652665838.04</v>
      </c>
    </row>
    <row r="16" spans="1:10" x14ac:dyDescent="0.25">
      <c r="B16" s="15">
        <v>4200</v>
      </c>
      <c r="C16" s="54" t="s">
        <v>93</v>
      </c>
      <c r="D16" s="18">
        <v>2765600606.6900001</v>
      </c>
    </row>
    <row r="17" spans="2:5" x14ac:dyDescent="0.25">
      <c r="B17" s="15">
        <v>4566</v>
      </c>
      <c r="C17" s="54" t="s">
        <v>92</v>
      </c>
      <c r="D17" s="18">
        <v>2868373874.1599998</v>
      </c>
    </row>
    <row r="18" spans="2:5" x14ac:dyDescent="0.25">
      <c r="B18" s="15">
        <v>4931</v>
      </c>
      <c r="C18" s="54" t="s">
        <v>91</v>
      </c>
      <c r="D18" s="18">
        <v>2916204913.6599998</v>
      </c>
    </row>
    <row r="19" spans="2:5" x14ac:dyDescent="0.25">
      <c r="B19" s="15">
        <v>5296</v>
      </c>
      <c r="C19" s="54" t="s">
        <v>90</v>
      </c>
      <c r="D19" s="18">
        <v>2912499269.1599998</v>
      </c>
    </row>
    <row r="20" spans="2:5" x14ac:dyDescent="0.25">
      <c r="B20" s="15">
        <v>5661</v>
      </c>
      <c r="C20" s="54" t="s">
        <v>89</v>
      </c>
      <c r="D20" s="18">
        <v>3058136873.1599998</v>
      </c>
    </row>
    <row r="21" spans="2:5" x14ac:dyDescent="0.25">
      <c r="B21" s="15">
        <v>6027</v>
      </c>
      <c r="C21" s="54" t="s">
        <v>88</v>
      </c>
      <c r="D21" s="18">
        <v>3609244262.1599998</v>
      </c>
    </row>
    <row r="22" spans="2:5" x14ac:dyDescent="0.25">
      <c r="B22" s="15">
        <v>6392</v>
      </c>
      <c r="C22" s="54" t="s">
        <v>87</v>
      </c>
      <c r="D22" s="18">
        <v>5717770279.5200005</v>
      </c>
    </row>
    <row r="23" spans="2:5" x14ac:dyDescent="0.25">
      <c r="B23" s="15">
        <v>6757</v>
      </c>
      <c r="C23" s="54" t="s">
        <v>86</v>
      </c>
      <c r="D23" s="18">
        <v>14592161414</v>
      </c>
    </row>
    <row r="24" spans="2:5" x14ac:dyDescent="0.25">
      <c r="B24" s="15">
        <v>7122</v>
      </c>
      <c r="C24" s="54" t="s">
        <v>85</v>
      </c>
      <c r="D24" s="18">
        <v>27390970113.119999</v>
      </c>
    </row>
    <row r="25" spans="2:5" x14ac:dyDescent="0.25">
      <c r="B25" s="15">
        <v>7488</v>
      </c>
      <c r="C25" s="54" t="s">
        <v>84</v>
      </c>
      <c r="D25" s="18">
        <v>25952456406.16</v>
      </c>
    </row>
    <row r="26" spans="2:5" x14ac:dyDescent="0.25">
      <c r="B26" s="15">
        <v>7852</v>
      </c>
      <c r="C26" s="54" t="s">
        <v>83</v>
      </c>
      <c r="D26" s="18">
        <v>23977450552.540001</v>
      </c>
    </row>
    <row r="27" spans="2:5" x14ac:dyDescent="0.25">
      <c r="B27" s="15">
        <v>8217</v>
      </c>
      <c r="C27" s="54" t="s">
        <v>82</v>
      </c>
      <c r="D27" s="18">
        <v>22963381708.310001</v>
      </c>
    </row>
    <row r="28" spans="2:5" x14ac:dyDescent="0.25">
      <c r="B28" s="15">
        <v>8582</v>
      </c>
      <c r="C28" s="54" t="s">
        <v>81</v>
      </c>
      <c r="D28" s="18">
        <v>22349707365.360001</v>
      </c>
      <c r="E28" s="15"/>
    </row>
    <row r="29" spans="2:5" x14ac:dyDescent="0.25">
      <c r="B29" s="15">
        <v>8948</v>
      </c>
      <c r="C29" s="54" t="s">
        <v>80</v>
      </c>
      <c r="D29" s="18">
        <v>21250812989.490002</v>
      </c>
      <c r="E29" s="15"/>
    </row>
    <row r="30" spans="2:5" x14ac:dyDescent="0.25">
      <c r="B30" s="15">
        <v>9313</v>
      </c>
      <c r="C30" s="54" t="s">
        <v>79</v>
      </c>
      <c r="D30" s="18">
        <v>20516193887.900002</v>
      </c>
      <c r="E30" s="15"/>
    </row>
    <row r="31" spans="2:5" x14ac:dyDescent="0.25">
      <c r="B31" s="15">
        <v>9678</v>
      </c>
      <c r="C31" s="54" t="s">
        <v>78</v>
      </c>
      <c r="D31" s="18">
        <v>19643216315.189999</v>
      </c>
      <c r="E31" s="15"/>
    </row>
    <row r="32" spans="2:5" x14ac:dyDescent="0.25">
      <c r="B32" s="15">
        <v>10043</v>
      </c>
      <c r="C32" s="54" t="s">
        <v>77</v>
      </c>
      <c r="D32" s="18">
        <v>18511906931.849998</v>
      </c>
    </row>
    <row r="33" spans="2:5" x14ac:dyDescent="0.25">
      <c r="B33" s="15">
        <v>10409</v>
      </c>
      <c r="C33" s="54" t="s">
        <v>76</v>
      </c>
      <c r="D33" s="18">
        <v>17604293201.43</v>
      </c>
      <c r="E33" s="15"/>
    </row>
    <row r="34" spans="2:5" x14ac:dyDescent="0.25">
      <c r="B34" s="15">
        <v>10773</v>
      </c>
      <c r="C34" s="54" t="s">
        <v>75</v>
      </c>
      <c r="D34" s="18">
        <v>16931088484.1</v>
      </c>
    </row>
    <row r="35" spans="2:5" x14ac:dyDescent="0.25">
      <c r="B35" s="15">
        <v>11139</v>
      </c>
      <c r="C35" s="54" t="s">
        <v>74</v>
      </c>
      <c r="D35" s="18">
        <v>16185309831.43</v>
      </c>
      <c r="E35" s="15"/>
    </row>
    <row r="36" spans="2:5" x14ac:dyDescent="0.25">
      <c r="B36" s="15">
        <v>11504</v>
      </c>
      <c r="C36" s="54" t="s">
        <v>73</v>
      </c>
      <c r="D36" s="18">
        <v>16801281491.709999</v>
      </c>
      <c r="E36" s="15"/>
    </row>
    <row r="37" spans="2:5" x14ac:dyDescent="0.25">
      <c r="B37" s="15">
        <v>11870</v>
      </c>
      <c r="C37" s="54" t="s">
        <v>72</v>
      </c>
      <c r="D37" s="18">
        <v>19487002444.130001</v>
      </c>
      <c r="E37" s="15"/>
    </row>
    <row r="38" spans="2:5" x14ac:dyDescent="0.25">
      <c r="B38" s="15">
        <v>12235</v>
      </c>
      <c r="C38" s="54" t="s">
        <v>71</v>
      </c>
      <c r="D38" s="18">
        <v>22538672560.150002</v>
      </c>
      <c r="E38" s="15"/>
    </row>
    <row r="39" spans="2:5" x14ac:dyDescent="0.25">
      <c r="B39" s="15">
        <v>12600</v>
      </c>
      <c r="C39" s="54" t="s">
        <v>70</v>
      </c>
      <c r="D39" s="18">
        <v>27053141414.48</v>
      </c>
      <c r="E39" s="15"/>
    </row>
    <row r="40" spans="2:5" x14ac:dyDescent="0.25">
      <c r="B40" s="15">
        <v>12964</v>
      </c>
      <c r="C40" s="54" t="s">
        <v>69</v>
      </c>
      <c r="D40" s="18">
        <v>28700892624.529999</v>
      </c>
      <c r="E40" s="15"/>
    </row>
    <row r="41" spans="2:5" x14ac:dyDescent="0.25">
      <c r="B41" s="15">
        <v>13331</v>
      </c>
      <c r="C41" s="54" t="s">
        <v>68</v>
      </c>
      <c r="D41" s="18">
        <v>33778543493.73</v>
      </c>
      <c r="E41" s="15"/>
    </row>
    <row r="42" spans="2:5" x14ac:dyDescent="0.25">
      <c r="B42" s="15">
        <v>13696</v>
      </c>
      <c r="C42" s="54" t="s">
        <v>67</v>
      </c>
      <c r="D42" s="18">
        <v>36424613732.290001</v>
      </c>
      <c r="E42" s="15"/>
    </row>
    <row r="43" spans="2:5" x14ac:dyDescent="0.25">
      <c r="B43" s="15">
        <v>14061</v>
      </c>
      <c r="C43" s="54" t="s">
        <v>66</v>
      </c>
      <c r="D43" s="18">
        <v>37164740315.449997</v>
      </c>
      <c r="E43" s="15"/>
    </row>
    <row r="44" spans="2:5" x14ac:dyDescent="0.25">
      <c r="B44" s="15">
        <v>14426</v>
      </c>
      <c r="C44" s="54" t="s">
        <v>65</v>
      </c>
      <c r="D44" s="18">
        <v>40439532411.110001</v>
      </c>
      <c r="E44" s="15"/>
    </row>
    <row r="45" spans="2:5" x14ac:dyDescent="0.25">
      <c r="B45" s="15">
        <v>14791</v>
      </c>
      <c r="C45" s="54" t="s">
        <v>64</v>
      </c>
      <c r="D45" s="18">
        <v>42967531037.68</v>
      </c>
      <c r="E45" s="15"/>
    </row>
    <row r="46" spans="2:5" x14ac:dyDescent="0.25">
      <c r="B46" s="15">
        <v>15157</v>
      </c>
      <c r="C46" s="54" t="s">
        <v>63</v>
      </c>
      <c r="D46" s="18">
        <v>48961443535.709999</v>
      </c>
      <c r="E46" s="15"/>
    </row>
    <row r="47" spans="2:5" x14ac:dyDescent="0.25">
      <c r="B47" s="15">
        <v>15522</v>
      </c>
      <c r="C47" s="54" t="s">
        <v>62</v>
      </c>
      <c r="D47" s="18">
        <v>72422445116.220001</v>
      </c>
    </row>
    <row r="48" spans="2:5" x14ac:dyDescent="0.25">
      <c r="B48" s="15">
        <v>15887</v>
      </c>
      <c r="C48" s="51">
        <v>136696090329.89999</v>
      </c>
      <c r="D48" s="18">
        <v>136696090329.89999</v>
      </c>
    </row>
    <row r="49" spans="1:4" x14ac:dyDescent="0.25">
      <c r="B49" s="15">
        <v>16253</v>
      </c>
      <c r="C49" s="51">
        <v>201003387221.13</v>
      </c>
      <c r="D49" s="18">
        <v>201003387221.13</v>
      </c>
    </row>
    <row r="50" spans="1:4" x14ac:dyDescent="0.25">
      <c r="B50" s="15">
        <v>16618</v>
      </c>
      <c r="C50" s="51">
        <v>258682187409.92999</v>
      </c>
      <c r="D50" s="18">
        <v>258682187409.92999</v>
      </c>
    </row>
    <row r="51" spans="1:4" x14ac:dyDescent="0.25">
      <c r="B51" s="15">
        <v>16981</v>
      </c>
      <c r="C51" s="51">
        <v>269422099173.26001</v>
      </c>
      <c r="D51" s="18">
        <v>269422099173.26001</v>
      </c>
    </row>
    <row r="52" spans="1:4" x14ac:dyDescent="0.25">
      <c r="B52" s="15">
        <v>17348</v>
      </c>
      <c r="C52" s="51">
        <v>258286383108.67001</v>
      </c>
      <c r="D52" s="18">
        <v>258286383108.67001</v>
      </c>
    </row>
    <row r="53" spans="1:4" x14ac:dyDescent="0.25">
      <c r="B53" s="15">
        <v>17714</v>
      </c>
      <c r="C53" s="51">
        <v>252292246512.98999</v>
      </c>
      <c r="D53" s="18">
        <v>252292246512.98999</v>
      </c>
    </row>
    <row r="54" spans="1:4" x14ac:dyDescent="0.25">
      <c r="B54" s="15">
        <v>18079</v>
      </c>
      <c r="C54" s="51">
        <v>252770359860.32999</v>
      </c>
      <c r="D54" s="18">
        <v>252770359860.32999</v>
      </c>
    </row>
    <row r="55" spans="1:4" x14ac:dyDescent="0.25">
      <c r="A55" t="s">
        <v>61</v>
      </c>
      <c r="B55" s="53">
        <v>18444</v>
      </c>
      <c r="C55" s="50">
        <v>257357352351.04001</v>
      </c>
      <c r="D55" s="18">
        <v>257357352351.04001</v>
      </c>
    </row>
    <row r="56" spans="1:4" x14ac:dyDescent="0.25">
      <c r="B56" s="53">
        <v>18808</v>
      </c>
      <c r="C56" s="50">
        <v>255221976814.92999</v>
      </c>
      <c r="D56" s="18">
        <v>255221976814.92999</v>
      </c>
    </row>
    <row r="57" spans="1:4" x14ac:dyDescent="0.25">
      <c r="B57" s="53">
        <v>19175</v>
      </c>
      <c r="C57" s="50">
        <v>259105178785.42999</v>
      </c>
      <c r="D57" s="18">
        <v>259105178785.42999</v>
      </c>
    </row>
    <row r="58" spans="1:4" x14ac:dyDescent="0.25">
      <c r="B58" s="53">
        <v>19540</v>
      </c>
      <c r="C58" s="50">
        <v>266071061638.57001</v>
      </c>
      <c r="D58" s="18">
        <v>266071061638.57001</v>
      </c>
    </row>
    <row r="59" spans="1:4" x14ac:dyDescent="0.25">
      <c r="B59" s="53">
        <v>19905</v>
      </c>
      <c r="C59" s="50">
        <v>271259599108.45999</v>
      </c>
      <c r="D59" s="18">
        <v>271259599108.45999</v>
      </c>
    </row>
    <row r="60" spans="1:4" x14ac:dyDescent="0.25">
      <c r="B60" s="53">
        <v>20270</v>
      </c>
      <c r="C60" s="50">
        <v>274374222802.62</v>
      </c>
      <c r="D60" s="18">
        <v>274374222802.62</v>
      </c>
    </row>
    <row r="61" spans="1:4" x14ac:dyDescent="0.25">
      <c r="B61" s="53">
        <v>20636</v>
      </c>
      <c r="C61" s="50">
        <v>272750813649.32001</v>
      </c>
      <c r="D61" s="18">
        <v>272750813649.32001</v>
      </c>
    </row>
    <row r="62" spans="1:4" x14ac:dyDescent="0.25">
      <c r="B62" s="53">
        <v>21001</v>
      </c>
      <c r="C62" s="50">
        <v>270527171896.42999</v>
      </c>
      <c r="D62" s="18">
        <v>270527171896.42999</v>
      </c>
    </row>
    <row r="63" spans="1:4" x14ac:dyDescent="0.25">
      <c r="B63" s="53">
        <v>21366</v>
      </c>
      <c r="C63" s="50">
        <v>276343217745.81</v>
      </c>
      <c r="D63" s="18">
        <v>276343217745.81</v>
      </c>
    </row>
    <row r="64" spans="1:4" x14ac:dyDescent="0.25">
      <c r="B64" s="53">
        <v>21731</v>
      </c>
      <c r="C64" s="50">
        <v>284705907078.21997</v>
      </c>
      <c r="D64" s="18">
        <v>284705907078.21997</v>
      </c>
    </row>
    <row r="65" spans="2:4" x14ac:dyDescent="0.25">
      <c r="B65" s="53">
        <v>22097</v>
      </c>
      <c r="C65" s="50">
        <v>286330760848.37</v>
      </c>
      <c r="D65" s="18">
        <v>286330760848.37</v>
      </c>
    </row>
    <row r="66" spans="2:4" x14ac:dyDescent="0.25">
      <c r="B66" s="53">
        <v>22462</v>
      </c>
      <c r="C66" s="50">
        <v>288970938610.04999</v>
      </c>
      <c r="D66" s="18">
        <v>288970938610.04999</v>
      </c>
    </row>
    <row r="67" spans="2:4" x14ac:dyDescent="0.25">
      <c r="B67" s="53">
        <v>22827</v>
      </c>
      <c r="C67" s="50">
        <v>298200822720.87</v>
      </c>
      <c r="D67" s="18">
        <v>298200822720.87</v>
      </c>
    </row>
    <row r="68" spans="2:4" x14ac:dyDescent="0.25">
      <c r="B68" s="53">
        <v>23192</v>
      </c>
      <c r="C68" s="50">
        <v>305859632996.40997</v>
      </c>
      <c r="D68" s="18">
        <v>305859632996.40997</v>
      </c>
    </row>
    <row r="69" spans="2:4" x14ac:dyDescent="0.25">
      <c r="B69" s="53">
        <v>23558</v>
      </c>
      <c r="C69" s="50">
        <v>311712899257.29999</v>
      </c>
      <c r="D69" s="18">
        <v>311712899257.29999</v>
      </c>
    </row>
    <row r="70" spans="2:4" x14ac:dyDescent="0.25">
      <c r="B70" s="53">
        <v>23923</v>
      </c>
      <c r="C70" s="50">
        <v>317273898983.64001</v>
      </c>
      <c r="D70" s="18">
        <v>317273898983.64001</v>
      </c>
    </row>
    <row r="71" spans="2:4" x14ac:dyDescent="0.25">
      <c r="B71" s="53">
        <v>24288</v>
      </c>
      <c r="C71" s="50">
        <v>319907087795.47998</v>
      </c>
      <c r="D71" s="18">
        <v>319907087795.47998</v>
      </c>
    </row>
    <row r="72" spans="2:4" x14ac:dyDescent="0.25">
      <c r="B72" s="53">
        <v>24653</v>
      </c>
      <c r="C72" s="50">
        <v>326220937794.53998</v>
      </c>
      <c r="D72" s="18">
        <v>326220937794.53998</v>
      </c>
    </row>
    <row r="73" spans="2:4" x14ac:dyDescent="0.25">
      <c r="B73" s="53">
        <v>25019</v>
      </c>
      <c r="C73" s="50">
        <v>347578406425.88</v>
      </c>
      <c r="D73" s="18">
        <v>347578406425.88</v>
      </c>
    </row>
    <row r="74" spans="2:4" x14ac:dyDescent="0.25">
      <c r="B74" s="53">
        <v>25384</v>
      </c>
      <c r="C74" s="50">
        <v>353720253841.40997</v>
      </c>
      <c r="D74" s="18">
        <v>353720253841.40997</v>
      </c>
    </row>
    <row r="75" spans="2:4" x14ac:dyDescent="0.25">
      <c r="B75" s="53">
        <v>25749</v>
      </c>
      <c r="C75" s="50">
        <v>370918706949.92999</v>
      </c>
      <c r="D75" s="18">
        <v>370918706949.92999</v>
      </c>
    </row>
    <row r="76" spans="2:4" x14ac:dyDescent="0.25">
      <c r="B76" s="53">
        <v>26114</v>
      </c>
      <c r="C76" s="50">
        <v>398129744455.53998</v>
      </c>
      <c r="D76" s="18">
        <v>398129744455.53998</v>
      </c>
    </row>
    <row r="77" spans="2:4" x14ac:dyDescent="0.25">
      <c r="B77" s="53">
        <v>26480</v>
      </c>
      <c r="C77" s="50">
        <v>427260460940.5</v>
      </c>
      <c r="D77" s="18">
        <v>427260460940.5</v>
      </c>
    </row>
    <row r="78" spans="2:4" x14ac:dyDescent="0.25">
      <c r="B78" s="53">
        <v>26845</v>
      </c>
      <c r="C78" s="50">
        <v>458141605312.09003</v>
      </c>
      <c r="D78" s="18">
        <v>458141605312.09003</v>
      </c>
    </row>
    <row r="79" spans="2:4" x14ac:dyDescent="0.25">
      <c r="B79" s="53">
        <v>27210</v>
      </c>
      <c r="C79" s="50">
        <v>475059815731.54999</v>
      </c>
      <c r="D79" s="18">
        <v>475059815731.54999</v>
      </c>
    </row>
    <row r="80" spans="2:4" x14ac:dyDescent="0.25">
      <c r="B80" s="53">
        <v>27575</v>
      </c>
      <c r="C80" s="50">
        <v>533189000000</v>
      </c>
      <c r="D80" s="18">
        <v>533189000000</v>
      </c>
    </row>
    <row r="81" spans="2:4" x14ac:dyDescent="0.25">
      <c r="B81" s="53">
        <v>27941</v>
      </c>
      <c r="C81" s="50">
        <v>620433000000</v>
      </c>
      <c r="D81" s="18">
        <v>620433000000</v>
      </c>
    </row>
    <row r="82" spans="2:4" x14ac:dyDescent="0.25">
      <c r="B82" s="53">
        <v>28398</v>
      </c>
      <c r="C82" s="50">
        <v>698840000000</v>
      </c>
      <c r="D82" s="18">
        <v>698840000000</v>
      </c>
    </row>
    <row r="83" spans="2:4" x14ac:dyDescent="0.25">
      <c r="B83" s="53">
        <v>28763</v>
      </c>
      <c r="C83" s="50">
        <v>771544000000</v>
      </c>
      <c r="D83" s="18">
        <v>771544000000</v>
      </c>
    </row>
    <row r="84" spans="2:4" x14ac:dyDescent="0.25">
      <c r="B84" s="53">
        <v>29128</v>
      </c>
      <c r="C84" s="50">
        <v>826519000000</v>
      </c>
      <c r="D84" s="18">
        <v>826519000000</v>
      </c>
    </row>
    <row r="85" spans="2:4" x14ac:dyDescent="0.25">
      <c r="B85" s="53">
        <v>29494</v>
      </c>
      <c r="C85" s="50">
        <v>907701000000</v>
      </c>
      <c r="D85" s="18">
        <v>907701000000</v>
      </c>
    </row>
    <row r="86" spans="2:4" x14ac:dyDescent="0.25">
      <c r="B86" s="53">
        <v>29859</v>
      </c>
      <c r="C86" s="50">
        <v>997855000000</v>
      </c>
      <c r="D86" s="18">
        <v>997855000000</v>
      </c>
    </row>
    <row r="87" spans="2:4" x14ac:dyDescent="0.25">
      <c r="B87" s="53">
        <v>30224</v>
      </c>
      <c r="C87" s="50">
        <v>1142034000000</v>
      </c>
      <c r="D87" s="18">
        <v>1142034000000</v>
      </c>
    </row>
    <row r="88" spans="2:4" x14ac:dyDescent="0.25">
      <c r="B88" s="53">
        <v>30589</v>
      </c>
      <c r="C88" s="50">
        <v>1377210000000</v>
      </c>
      <c r="D88" s="18">
        <v>1377210000000</v>
      </c>
    </row>
    <row r="89" spans="2:4" x14ac:dyDescent="0.25">
      <c r="B89" s="53">
        <v>30955</v>
      </c>
      <c r="C89" s="50">
        <v>1572266000000</v>
      </c>
      <c r="D89" s="18">
        <v>1572266000000</v>
      </c>
    </row>
    <row r="90" spans="2:4" x14ac:dyDescent="0.25">
      <c r="B90" s="53">
        <v>31320</v>
      </c>
      <c r="C90" s="50">
        <v>1823103000000</v>
      </c>
      <c r="D90" s="18">
        <v>1823103000000</v>
      </c>
    </row>
    <row r="91" spans="2:4" x14ac:dyDescent="0.25">
      <c r="B91" s="53">
        <v>31685</v>
      </c>
      <c r="C91" s="50">
        <v>2125302616658.4199</v>
      </c>
      <c r="D91" s="18">
        <v>2125302616658.4199</v>
      </c>
    </row>
    <row r="92" spans="2:4" x14ac:dyDescent="0.25">
      <c r="B92" s="53">
        <v>32050</v>
      </c>
      <c r="C92" s="50">
        <v>2350276890953</v>
      </c>
      <c r="D92" s="18">
        <v>2350276890953</v>
      </c>
    </row>
    <row r="93" spans="2:4" x14ac:dyDescent="0.25">
      <c r="B93" s="53">
        <v>32416</v>
      </c>
      <c r="C93" s="50">
        <v>2602337712041.1602</v>
      </c>
      <c r="D93" s="18">
        <v>2602337712041.1602</v>
      </c>
    </row>
    <row r="94" spans="2:4" x14ac:dyDescent="0.25">
      <c r="B94" s="53">
        <v>32780</v>
      </c>
      <c r="C94" s="50">
        <v>2857430960187.3198</v>
      </c>
      <c r="D94" s="18">
        <v>2857430960187.3198</v>
      </c>
    </row>
    <row r="95" spans="2:4" x14ac:dyDescent="0.25">
      <c r="B95" s="53">
        <v>33144</v>
      </c>
      <c r="C95" s="50">
        <v>3233313451777.25</v>
      </c>
      <c r="D95" s="18">
        <v>3233313451777.25</v>
      </c>
    </row>
    <row r="96" spans="2:4" x14ac:dyDescent="0.25">
      <c r="B96" s="53">
        <v>33511</v>
      </c>
      <c r="C96" s="50">
        <v>3665303351697.0298</v>
      </c>
      <c r="D96" s="18">
        <v>3665303351697.0298</v>
      </c>
    </row>
    <row r="97" spans="1:4" x14ac:dyDescent="0.25">
      <c r="B97" s="53">
        <v>33877</v>
      </c>
      <c r="C97" s="50">
        <v>4064620655521.6602</v>
      </c>
      <c r="D97" s="18">
        <v>4064620655521.6602</v>
      </c>
    </row>
    <row r="98" spans="1:4" x14ac:dyDescent="0.25">
      <c r="B98" s="53">
        <v>34242</v>
      </c>
      <c r="C98" s="50">
        <v>4411488883139.3799</v>
      </c>
      <c r="D98" s="18">
        <v>4411488883139.3799</v>
      </c>
    </row>
    <row r="99" spans="1:4" x14ac:dyDescent="0.25">
      <c r="B99" s="53">
        <v>34607</v>
      </c>
      <c r="C99" s="50">
        <v>4692749910013.3203</v>
      </c>
      <c r="D99" s="18">
        <v>4692749910013.3203</v>
      </c>
    </row>
    <row r="100" spans="1:4" x14ac:dyDescent="0.25">
      <c r="B100" s="53">
        <v>34971</v>
      </c>
      <c r="C100" s="50">
        <v>4973982900709.3896</v>
      </c>
      <c r="D100" s="18">
        <v>4973982900709.3896</v>
      </c>
    </row>
    <row r="101" spans="1:4" x14ac:dyDescent="0.25">
      <c r="B101" s="53">
        <v>35338</v>
      </c>
      <c r="C101" s="50">
        <v>5224810939135.7305</v>
      </c>
      <c r="D101" s="18">
        <v>5224810939135.7305</v>
      </c>
    </row>
    <row r="102" spans="1:4" x14ac:dyDescent="0.25">
      <c r="B102" s="53">
        <v>35703</v>
      </c>
      <c r="C102" s="50">
        <v>5413146011397.3398</v>
      </c>
      <c r="D102" s="18">
        <v>5413146011397.3398</v>
      </c>
    </row>
    <row r="103" spans="1:4" x14ac:dyDescent="0.25">
      <c r="B103" s="53">
        <v>36068</v>
      </c>
      <c r="C103" s="50">
        <v>5526193008897.6201</v>
      </c>
      <c r="D103" s="18">
        <v>5526193008897.6201</v>
      </c>
    </row>
    <row r="104" spans="1:4" x14ac:dyDescent="0.25">
      <c r="B104" s="53">
        <v>36433</v>
      </c>
      <c r="C104" s="50">
        <v>5656270901615.4297</v>
      </c>
      <c r="D104" s="18">
        <v>5656270901615.4297</v>
      </c>
    </row>
    <row r="105" spans="1:4" x14ac:dyDescent="0.25">
      <c r="A105" t="s">
        <v>106</v>
      </c>
      <c r="B105" s="15">
        <v>36799</v>
      </c>
      <c r="C105" s="51">
        <v>5674178209886.8604</v>
      </c>
      <c r="D105" s="18">
        <v>5674178209886.8604</v>
      </c>
    </row>
    <row r="106" spans="1:4" x14ac:dyDescent="0.25">
      <c r="B106" s="15">
        <v>37164</v>
      </c>
      <c r="C106" s="51">
        <v>5807463412200.0596</v>
      </c>
      <c r="D106" s="18">
        <v>5807463412200.0596</v>
      </c>
    </row>
    <row r="107" spans="1:4" x14ac:dyDescent="0.25">
      <c r="B107" s="15">
        <v>37529</v>
      </c>
      <c r="C107" s="51">
        <v>6228235965597.1602</v>
      </c>
      <c r="D107" s="18">
        <v>6228235965597.1602</v>
      </c>
    </row>
    <row r="108" spans="1:4" x14ac:dyDescent="0.25">
      <c r="B108" s="15">
        <v>37894</v>
      </c>
      <c r="C108" s="51">
        <v>6783231062743.6201</v>
      </c>
      <c r="D108" s="18">
        <v>6783231062743.6201</v>
      </c>
    </row>
    <row r="109" spans="1:4" x14ac:dyDescent="0.25">
      <c r="B109" s="15">
        <v>38260</v>
      </c>
      <c r="C109" s="51">
        <v>7379052696330.3203</v>
      </c>
      <c r="D109" s="18">
        <v>7379052696330.3203</v>
      </c>
    </row>
    <row r="110" spans="1:4" x14ac:dyDescent="0.25">
      <c r="B110" s="15">
        <v>38625</v>
      </c>
      <c r="C110" s="51">
        <v>7932709661723.5</v>
      </c>
      <c r="D110" s="18">
        <v>7932709661723.5</v>
      </c>
    </row>
    <row r="111" spans="1:4" x14ac:dyDescent="0.25">
      <c r="B111" s="15">
        <v>38990</v>
      </c>
      <c r="C111" s="51">
        <v>8506973899215.2305</v>
      </c>
      <c r="D111" s="18">
        <v>8506973899215.2305</v>
      </c>
    </row>
    <row r="112" spans="1:4" x14ac:dyDescent="0.25">
      <c r="B112" s="15">
        <v>39355</v>
      </c>
      <c r="C112" s="51">
        <v>9007653372262.4805</v>
      </c>
      <c r="D112" s="18">
        <v>9007653372262.4805</v>
      </c>
    </row>
    <row r="113" spans="2:13" x14ac:dyDescent="0.25">
      <c r="B113" s="15">
        <v>39721</v>
      </c>
      <c r="C113" s="51">
        <v>10024724896912.4</v>
      </c>
      <c r="D113" s="18">
        <v>10024724896912.4</v>
      </c>
    </row>
    <row r="114" spans="2:13" x14ac:dyDescent="0.25">
      <c r="B114" s="15">
        <v>40086</v>
      </c>
      <c r="C114" s="51">
        <v>11909829003511.699</v>
      </c>
      <c r="D114" s="18">
        <v>11909829003511.699</v>
      </c>
    </row>
    <row r="115" spans="2:13" x14ac:dyDescent="0.25">
      <c r="B115" s="15">
        <v>40451</v>
      </c>
      <c r="C115" s="51">
        <v>13561623030891.699</v>
      </c>
      <c r="D115" s="18">
        <v>13561623030891.699</v>
      </c>
    </row>
    <row r="116" spans="2:13" x14ac:dyDescent="0.25">
      <c r="B116" s="15">
        <v>40816</v>
      </c>
      <c r="C116" s="51">
        <v>14790340328557.1</v>
      </c>
      <c r="D116" s="18">
        <v>14790340328557.1</v>
      </c>
    </row>
    <row r="117" spans="2:13" x14ac:dyDescent="0.25">
      <c r="B117" s="15">
        <v>41182</v>
      </c>
      <c r="C117" s="51">
        <v>16066241407385.801</v>
      </c>
      <c r="D117" s="18">
        <v>16066241407385.801</v>
      </c>
    </row>
    <row r="118" spans="2:13" x14ac:dyDescent="0.25">
      <c r="B118" s="15">
        <v>41547</v>
      </c>
      <c r="C118" s="51">
        <v>16738183526697.301</v>
      </c>
      <c r="D118" s="18">
        <v>16738183526697.301</v>
      </c>
    </row>
    <row r="119" spans="2:13" x14ac:dyDescent="0.25">
      <c r="B119" s="15">
        <v>41912</v>
      </c>
      <c r="C119" s="51">
        <v>17824071380733.801</v>
      </c>
      <c r="D119" s="18">
        <v>17824071380733.801</v>
      </c>
    </row>
    <row r="120" spans="2:13" x14ac:dyDescent="0.25">
      <c r="B120" s="15">
        <v>42277</v>
      </c>
      <c r="C120" s="51">
        <v>18150617666484.301</v>
      </c>
      <c r="D120" s="18">
        <v>18150617666484.301</v>
      </c>
    </row>
    <row r="121" spans="2:13" x14ac:dyDescent="0.25">
      <c r="B121" s="15">
        <v>42642</v>
      </c>
      <c r="C121" s="51">
        <v>19573444713936.699</v>
      </c>
      <c r="D121" s="18">
        <f>C121</f>
        <v>19573444713936.699</v>
      </c>
      <c r="G121" s="15">
        <v>42642</v>
      </c>
      <c r="H121" s="51">
        <v>5400021197040.9697</v>
      </c>
      <c r="I121" s="51">
        <v>14173423516895.801</v>
      </c>
      <c r="J121" s="51">
        <v>19573444713936.699</v>
      </c>
    </row>
    <row r="122" spans="2:13" x14ac:dyDescent="0.25">
      <c r="B122" s="15">
        <f>G122</f>
        <v>42733</v>
      </c>
      <c r="C122" s="51">
        <v>19976826951047.801</v>
      </c>
      <c r="D122" s="18">
        <v>19976826951047.801</v>
      </c>
      <c r="G122" s="15">
        <v>42733</v>
      </c>
      <c r="H122" s="51">
        <v>5541985430119.4297</v>
      </c>
      <c r="I122" s="51">
        <v>14434841520928.301</v>
      </c>
      <c r="J122" s="51">
        <v>19976826951047.801</v>
      </c>
      <c r="M122" s="84"/>
    </row>
    <row r="123" spans="2:13" x14ac:dyDescent="0.25">
      <c r="B123" s="15">
        <f t="shared" ref="B123:B128" si="0">G123</f>
        <v>42824</v>
      </c>
      <c r="C123" s="51">
        <v>19846420062676.801</v>
      </c>
      <c r="D123" s="18">
        <v>19846420062676.801</v>
      </c>
      <c r="G123" s="15">
        <v>42824</v>
      </c>
      <c r="H123" s="51">
        <v>5476738123373.96</v>
      </c>
      <c r="I123" s="51">
        <v>14369681939302.9</v>
      </c>
      <c r="J123" s="51">
        <v>19846420062676.801</v>
      </c>
      <c r="K123" s="84"/>
      <c r="L123" s="51"/>
    </row>
    <row r="124" spans="2:13" x14ac:dyDescent="0.25">
      <c r="B124" s="15">
        <f t="shared" si="0"/>
        <v>42915</v>
      </c>
      <c r="C124" s="51">
        <v>19844554182651.301</v>
      </c>
      <c r="D124" s="18">
        <v>19844554182651.301</v>
      </c>
      <c r="G124" s="15">
        <v>42915</v>
      </c>
      <c r="H124" s="51">
        <v>5478367838085.6299</v>
      </c>
      <c r="I124" s="51">
        <v>14366186344565.699</v>
      </c>
      <c r="J124" s="51">
        <v>19844554182651.301</v>
      </c>
      <c r="K124" s="84"/>
      <c r="L124" s="51"/>
    </row>
    <row r="125" spans="2:13" x14ac:dyDescent="0.25">
      <c r="B125" s="15">
        <f t="shared" si="0"/>
        <v>43006</v>
      </c>
      <c r="C125" s="51">
        <v>20244900016053.5</v>
      </c>
      <c r="D125" s="18">
        <v>20244900016053.5</v>
      </c>
      <c r="G125" s="15">
        <v>43006</v>
      </c>
      <c r="H125" s="51">
        <v>5571471352912.5703</v>
      </c>
      <c r="I125" s="51">
        <v>14673428663140.9</v>
      </c>
      <c r="J125" s="51">
        <v>20244900016053.5</v>
      </c>
      <c r="K125" s="84"/>
      <c r="L125" s="51"/>
    </row>
    <row r="126" spans="2:13" x14ac:dyDescent="0.25">
      <c r="B126" s="15">
        <f t="shared" si="0"/>
        <v>43097</v>
      </c>
      <c r="C126" s="51">
        <v>20492746546193.699</v>
      </c>
      <c r="D126" s="18">
        <v>20492746546193.699</v>
      </c>
      <c r="G126" s="15">
        <v>43097</v>
      </c>
      <c r="H126" s="51">
        <v>5678025418389.9805</v>
      </c>
      <c r="I126" s="51">
        <v>14814721127803.699</v>
      </c>
      <c r="J126" s="51">
        <v>20492746546193.699</v>
      </c>
      <c r="K126" s="84"/>
      <c r="L126" s="51"/>
      <c r="M126" s="84"/>
    </row>
    <row r="127" spans="2:13" x14ac:dyDescent="0.25">
      <c r="B127" s="15">
        <f t="shared" si="0"/>
        <v>43188</v>
      </c>
      <c r="C127" s="51">
        <v>21089642954195.801</v>
      </c>
      <c r="D127" s="18">
        <v>21089642954195.801</v>
      </c>
      <c r="G127" s="15">
        <v>43188</v>
      </c>
      <c r="H127" s="51">
        <v>5661632908677.0195</v>
      </c>
      <c r="I127" s="51">
        <v>15428010045518.801</v>
      </c>
      <c r="J127" s="51">
        <v>21089642954195.801</v>
      </c>
      <c r="K127" s="84"/>
      <c r="L127" s="51"/>
      <c r="M127" s="84"/>
    </row>
    <row r="128" spans="2:13" x14ac:dyDescent="0.25">
      <c r="B128" s="15">
        <f t="shared" si="0"/>
        <v>43279</v>
      </c>
      <c r="C128" s="51">
        <v>21195069635322.801</v>
      </c>
      <c r="D128" s="18">
        <v>21195069635322.801</v>
      </c>
      <c r="G128" s="15">
        <v>43279</v>
      </c>
      <c r="H128" s="51">
        <v>5728505322006.2197</v>
      </c>
      <c r="I128" s="51">
        <v>15466564313316.5</v>
      </c>
      <c r="J128" s="51">
        <v>21195069635322.801</v>
      </c>
      <c r="K128" s="84"/>
      <c r="L128" s="51"/>
      <c r="M128" s="84"/>
    </row>
    <row r="129" spans="2:13" x14ac:dyDescent="0.25">
      <c r="B129" s="15">
        <v>43373</v>
      </c>
      <c r="C129" s="51">
        <v>21606948383546.199</v>
      </c>
      <c r="D129" s="18">
        <v>21606948383546.199</v>
      </c>
      <c r="G129" s="15">
        <v>43373</v>
      </c>
      <c r="H129" s="51">
        <v>5835624900369.5498</v>
      </c>
      <c r="I129" s="51">
        <v>15771323483176.699</v>
      </c>
      <c r="J129" s="51">
        <v>21606948383546.199</v>
      </c>
      <c r="K129" s="84"/>
      <c r="L129" s="51"/>
      <c r="M129" s="84"/>
    </row>
    <row r="130" spans="2:13" x14ac:dyDescent="0.25">
      <c r="B130" s="15">
        <v>43464</v>
      </c>
      <c r="C130" s="51">
        <v>21974095705790.5</v>
      </c>
      <c r="D130" s="18">
        <f>C130</f>
        <v>21974095705790.5</v>
      </c>
      <c r="G130" s="15">
        <v>43464</v>
      </c>
      <c r="H130" s="51">
        <v>5872429205308.8701</v>
      </c>
      <c r="I130" s="51">
        <v>16101666500481.6</v>
      </c>
      <c r="J130" s="51">
        <v>21974095705790.5</v>
      </c>
    </row>
    <row r="131" spans="2:13" x14ac:dyDescent="0.25">
      <c r="B131" s="15">
        <v>43555</v>
      </c>
      <c r="C131" s="51">
        <v>22027704987724.398</v>
      </c>
      <c r="D131" s="18">
        <f>C131</f>
        <v>22027704987724.398</v>
      </c>
      <c r="G131" s="15">
        <v>43555</v>
      </c>
      <c r="H131" s="51">
        <v>5797611759079.0801</v>
      </c>
      <c r="I131" s="51">
        <v>16230093228645.4</v>
      </c>
      <c r="J131" s="51">
        <v>22027704987724.398</v>
      </c>
    </row>
    <row r="132" spans="2:13" x14ac:dyDescent="0.25">
      <c r="B132" s="15">
        <v>43646</v>
      </c>
      <c r="C132" s="51">
        <v>22023127457029.398</v>
      </c>
      <c r="D132" s="18">
        <f>C132</f>
        <v>22023127457029.398</v>
      </c>
      <c r="G132" s="15">
        <v>43646</v>
      </c>
      <c r="H132" s="51">
        <v>5809018012280.8301</v>
      </c>
      <c r="I132" s="51">
        <v>16214109444748.5</v>
      </c>
      <c r="J132" s="51">
        <v>22023127457029.398</v>
      </c>
    </row>
    <row r="133" spans="2:13" x14ac:dyDescent="0.25">
      <c r="G133" s="15"/>
      <c r="H133" s="51"/>
      <c r="I133" s="51"/>
      <c r="J133" s="51"/>
    </row>
    <row r="134" spans="2:13" x14ac:dyDescent="0.25">
      <c r="G134" s="15"/>
      <c r="H134" s="51"/>
      <c r="I134" s="51"/>
      <c r="J134" s="51"/>
    </row>
    <row r="135" spans="2:13" x14ac:dyDescent="0.25">
      <c r="G135" s="15"/>
      <c r="H135" s="51"/>
      <c r="I135" s="51"/>
      <c r="J135" s="51"/>
    </row>
    <row r="136" spans="2:13" x14ac:dyDescent="0.25">
      <c r="G136" s="15"/>
      <c r="H136" s="51"/>
      <c r="I136" s="51"/>
      <c r="J136" s="51"/>
    </row>
    <row r="137" spans="2:13" x14ac:dyDescent="0.25">
      <c r="G137" s="15"/>
      <c r="H137" s="51"/>
      <c r="I137" s="51"/>
      <c r="J137" s="51"/>
    </row>
    <row r="138" spans="2:13" x14ac:dyDescent="0.25">
      <c r="G138" s="15"/>
      <c r="H138" s="51"/>
      <c r="I138" s="51"/>
      <c r="J138" s="51"/>
    </row>
    <row r="139" spans="2:13" x14ac:dyDescent="0.25">
      <c r="G139" s="15"/>
      <c r="H139" s="51"/>
      <c r="I139" s="51"/>
      <c r="J139" s="51"/>
    </row>
    <row r="140" spans="2:13" x14ac:dyDescent="0.25">
      <c r="G140" s="15"/>
    </row>
    <row r="141" spans="2:13" x14ac:dyDescent="0.25">
      <c r="G141" s="15"/>
    </row>
  </sheetData>
  <sortState xmlns:xlrd2="http://schemas.microsoft.com/office/spreadsheetml/2017/richdata2" ref="B1:D140">
    <sortCondition ref="B1:B140"/>
  </sortState>
  <hyperlinks>
    <hyperlink ref="G4" r:id="rId1" xr:uid="{16F39955-563C-47B7-AAA0-5E3A9620A926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4"/>
  <sheetViews>
    <sheetView tabSelected="1" zoomScaleNormal="100" workbookViewId="0">
      <selection activeCell="L6" sqref="L6"/>
    </sheetView>
  </sheetViews>
  <sheetFormatPr defaultRowHeight="15" x14ac:dyDescent="0.25"/>
  <cols>
    <col min="1" max="1" width="4.85546875" customWidth="1"/>
    <col min="2" max="2" width="13.140625" customWidth="1"/>
    <col min="3" max="3" width="18.7109375" customWidth="1"/>
    <col min="4" max="4" width="7.28515625" customWidth="1"/>
    <col min="5" max="5" width="20.140625" customWidth="1"/>
    <col min="6" max="7" width="9.140625" customWidth="1"/>
    <col min="11" max="12" width="10.7109375" customWidth="1"/>
    <col min="13" max="13" width="11" customWidth="1"/>
    <col min="14" max="14" width="12.28515625" customWidth="1"/>
  </cols>
  <sheetData>
    <row r="1" spans="2:18" x14ac:dyDescent="0.25">
      <c r="B1" s="64" t="s">
        <v>171</v>
      </c>
    </row>
    <row r="2" spans="2:18" x14ac:dyDescent="0.25">
      <c r="B2" s="7" t="s">
        <v>3</v>
      </c>
      <c r="C2" t="s">
        <v>45</v>
      </c>
    </row>
    <row r="3" spans="2:18" ht="18.75" x14ac:dyDescent="0.3">
      <c r="B3" s="7" t="s">
        <v>2</v>
      </c>
      <c r="C3" t="s">
        <v>46</v>
      </c>
      <c r="F3" s="120" t="s">
        <v>214</v>
      </c>
    </row>
    <row r="5" spans="2:18" x14ac:dyDescent="0.25">
      <c r="B5" s="3" t="s">
        <v>0</v>
      </c>
      <c r="C5" s="4" t="s">
        <v>1</v>
      </c>
      <c r="E5" s="5"/>
      <c r="F5" s="1"/>
      <c r="G5" s="5"/>
    </row>
    <row r="6" spans="2:18" x14ac:dyDescent="0.25">
      <c r="B6" s="1">
        <v>183</v>
      </c>
      <c r="C6" s="2">
        <f>'Treas Data'!D5</f>
        <v>2136961091.6700001</v>
      </c>
      <c r="F6" s="1"/>
      <c r="G6" s="26"/>
    </row>
    <row r="7" spans="2:18" x14ac:dyDescent="0.25">
      <c r="B7" s="1">
        <v>548</v>
      </c>
      <c r="C7" s="2">
        <f>'Treas Data'!D6</f>
        <v>2143326933.8900001</v>
      </c>
      <c r="E7" s="28"/>
      <c r="F7" s="29"/>
      <c r="G7" s="5"/>
    </row>
    <row r="8" spans="2:18" x14ac:dyDescent="0.25">
      <c r="B8" s="1">
        <v>913</v>
      </c>
      <c r="C8" s="2">
        <f>'Treas Data'!D7</f>
        <v>2158610445.8899999</v>
      </c>
      <c r="F8" s="29"/>
      <c r="G8" s="26"/>
      <c r="O8" s="5"/>
      <c r="P8" s="5"/>
    </row>
    <row r="9" spans="2:18" x14ac:dyDescent="0.25">
      <c r="B9" s="1">
        <v>1278</v>
      </c>
      <c r="C9" s="2">
        <f>'Treas Data'!D8</f>
        <v>2202464781.8899999</v>
      </c>
      <c r="E9" s="5"/>
      <c r="F9" s="1" t="s">
        <v>213</v>
      </c>
      <c r="G9" s="5"/>
    </row>
    <row r="10" spans="2:18" x14ac:dyDescent="0.25">
      <c r="B10" s="1">
        <v>1644</v>
      </c>
      <c r="C10" s="2">
        <f>'Treas Data'!D9</f>
        <v>2264003585.1399999</v>
      </c>
      <c r="F10" s="1"/>
      <c r="G10" s="26"/>
    </row>
    <row r="11" spans="2:18" x14ac:dyDescent="0.25">
      <c r="B11" s="1">
        <v>2009</v>
      </c>
      <c r="C11" s="2">
        <f>'Treas Data'!D10</f>
        <v>2274615063.8400002</v>
      </c>
      <c r="E11" s="5"/>
      <c r="F11" s="27"/>
      <c r="G11" s="5"/>
    </row>
    <row r="12" spans="2:18" x14ac:dyDescent="0.25">
      <c r="B12" s="1">
        <v>2374</v>
      </c>
      <c r="C12" s="2">
        <f>'Treas Data'!D11</f>
        <v>2337161839.04</v>
      </c>
      <c r="F12" s="27"/>
      <c r="G12" s="26"/>
      <c r="Q12" t="s">
        <v>201</v>
      </c>
    </row>
    <row r="13" spans="2:18" x14ac:dyDescent="0.25">
      <c r="B13" s="1">
        <v>2739</v>
      </c>
      <c r="C13" s="2">
        <f>'Treas Data'!D12</f>
        <v>2457188061.54</v>
      </c>
      <c r="E13" s="5"/>
      <c r="F13" s="27"/>
      <c r="G13" s="5"/>
      <c r="Q13" t="s">
        <v>202</v>
      </c>
    </row>
    <row r="14" spans="2:18" x14ac:dyDescent="0.25">
      <c r="B14" s="1">
        <v>3105</v>
      </c>
      <c r="C14" s="2">
        <f>'Treas Data'!D13</f>
        <v>2626806271.54</v>
      </c>
      <c r="F14" s="27"/>
      <c r="G14" s="26"/>
      <c r="Q14" t="s">
        <v>203</v>
      </c>
    </row>
    <row r="15" spans="2:18" x14ac:dyDescent="0.25">
      <c r="B15" s="1">
        <v>3470</v>
      </c>
      <c r="C15" s="2">
        <f>'Treas Data'!D14</f>
        <v>2639546241.04</v>
      </c>
      <c r="E15" s="5"/>
      <c r="F15" s="1"/>
      <c r="G15" s="5"/>
      <c r="Q15" t="s">
        <v>204</v>
      </c>
      <c r="R15" s="20"/>
    </row>
    <row r="16" spans="2:18" x14ac:dyDescent="0.25">
      <c r="B16" s="1">
        <v>3835</v>
      </c>
      <c r="C16" s="2">
        <f>'Treas Data'!D15</f>
        <v>2652665838.04</v>
      </c>
      <c r="F16" s="1"/>
      <c r="G16" s="26"/>
      <c r="O16" s="5"/>
      <c r="P16" s="5"/>
      <c r="R16" t="s">
        <v>205</v>
      </c>
    </row>
    <row r="17" spans="2:18" x14ac:dyDescent="0.25">
      <c r="B17" s="1">
        <v>4200</v>
      </c>
      <c r="C17" s="2">
        <f>'Treas Data'!D16</f>
        <v>2765600606.6900001</v>
      </c>
      <c r="E17" s="5"/>
      <c r="F17" s="1"/>
      <c r="G17" s="5"/>
      <c r="R17" t="s">
        <v>206</v>
      </c>
    </row>
    <row r="18" spans="2:18" x14ac:dyDescent="0.25">
      <c r="B18" s="1">
        <v>4566</v>
      </c>
      <c r="C18" s="2">
        <f>'Treas Data'!D17</f>
        <v>2868373874.1599998</v>
      </c>
      <c r="F18" s="1"/>
      <c r="G18" s="26"/>
      <c r="R18" t="s">
        <v>207</v>
      </c>
    </row>
    <row r="19" spans="2:18" x14ac:dyDescent="0.25">
      <c r="B19" s="1">
        <v>4931</v>
      </c>
      <c r="C19" s="2">
        <f>'Treas Data'!D18</f>
        <v>2916204913.6599998</v>
      </c>
      <c r="E19" s="5"/>
      <c r="F19" s="1"/>
      <c r="G19" s="26"/>
      <c r="Q19" t="s">
        <v>208</v>
      </c>
    </row>
    <row r="20" spans="2:18" x14ac:dyDescent="0.25">
      <c r="B20" s="1">
        <v>5296</v>
      </c>
      <c r="C20" s="2">
        <f>'Treas Data'!D19</f>
        <v>2912499269.1599998</v>
      </c>
      <c r="F20" s="1"/>
      <c r="G20" s="26"/>
      <c r="O20" s="5"/>
      <c r="P20" s="5"/>
      <c r="R20" t="s">
        <v>209</v>
      </c>
    </row>
    <row r="21" spans="2:18" x14ac:dyDescent="0.25">
      <c r="B21" s="1">
        <v>5661</v>
      </c>
      <c r="C21" s="2">
        <f>'Treas Data'!D20</f>
        <v>3058136873.1599998</v>
      </c>
      <c r="E21" s="5"/>
      <c r="F21" s="1"/>
      <c r="G21" s="26"/>
      <c r="R21" t="s">
        <v>210</v>
      </c>
    </row>
    <row r="22" spans="2:18" x14ac:dyDescent="0.25">
      <c r="B22" s="1">
        <v>6027</v>
      </c>
      <c r="C22" s="2">
        <f>'Treas Data'!D21</f>
        <v>3609244262.1599998</v>
      </c>
      <c r="F22" s="1"/>
      <c r="G22" s="26"/>
      <c r="R22" t="s">
        <v>211</v>
      </c>
    </row>
    <row r="23" spans="2:18" x14ac:dyDescent="0.25">
      <c r="B23" s="1">
        <v>6392</v>
      </c>
      <c r="C23" s="2">
        <f>'Treas Data'!D22</f>
        <v>5717770279.5200005</v>
      </c>
      <c r="E23" s="28"/>
      <c r="Q23" t="s">
        <v>212</v>
      </c>
    </row>
    <row r="24" spans="2:18" x14ac:dyDescent="0.25">
      <c r="B24" s="1">
        <v>6757</v>
      </c>
      <c r="C24" s="2">
        <f>'Treas Data'!D23</f>
        <v>14592161414</v>
      </c>
      <c r="O24" s="5"/>
      <c r="P24" s="5"/>
      <c r="R24" s="20"/>
    </row>
    <row r="25" spans="2:18" x14ac:dyDescent="0.25">
      <c r="B25" s="1">
        <v>7122</v>
      </c>
      <c r="C25" s="2">
        <f>'Treas Data'!D24</f>
        <v>27390970113.119999</v>
      </c>
      <c r="G25" s="5"/>
    </row>
    <row r="26" spans="2:18" x14ac:dyDescent="0.25">
      <c r="B26" s="1">
        <v>7488</v>
      </c>
      <c r="C26" s="2">
        <f>'Treas Data'!D25</f>
        <v>25952456406.16</v>
      </c>
    </row>
    <row r="27" spans="2:18" x14ac:dyDescent="0.25">
      <c r="B27" s="1">
        <v>7852</v>
      </c>
      <c r="C27" s="2">
        <f>'Treas Data'!D26</f>
        <v>23977450552.540001</v>
      </c>
    </row>
    <row r="28" spans="2:18" x14ac:dyDescent="0.25">
      <c r="B28" s="1">
        <v>8217</v>
      </c>
      <c r="C28" s="2">
        <f>'Treas Data'!D27</f>
        <v>22963381708.310001</v>
      </c>
      <c r="G28" s="5"/>
      <c r="O28" s="5"/>
      <c r="P28" s="5"/>
    </row>
    <row r="29" spans="2:18" x14ac:dyDescent="0.25">
      <c r="B29" s="1">
        <v>8582</v>
      </c>
      <c r="C29" s="2">
        <f>'Treas Data'!D28</f>
        <v>22349707365.360001</v>
      </c>
      <c r="O29" s="5"/>
      <c r="P29" s="5"/>
    </row>
    <row r="30" spans="2:18" x14ac:dyDescent="0.25">
      <c r="B30" s="1">
        <v>8948</v>
      </c>
      <c r="C30" s="2">
        <f>'Treas Data'!D29</f>
        <v>21250812989.490002</v>
      </c>
      <c r="O30" s="1"/>
      <c r="P30" s="5"/>
    </row>
    <row r="31" spans="2:18" x14ac:dyDescent="0.25">
      <c r="B31" s="1">
        <v>9313</v>
      </c>
      <c r="C31" s="2">
        <f>'Treas Data'!D30</f>
        <v>20516193887.900002</v>
      </c>
      <c r="O31" s="1"/>
      <c r="P31" s="26"/>
    </row>
    <row r="32" spans="2:18" x14ac:dyDescent="0.25">
      <c r="B32" s="1">
        <v>9678</v>
      </c>
      <c r="C32" s="2">
        <f>'Treas Data'!D31</f>
        <v>19643216315.189999</v>
      </c>
      <c r="L32" s="22" t="s">
        <v>28</v>
      </c>
      <c r="M32" s="5"/>
      <c r="O32" s="5"/>
      <c r="P32" s="5"/>
    </row>
    <row r="33" spans="2:16" x14ac:dyDescent="0.25">
      <c r="B33" s="1">
        <v>10043</v>
      </c>
      <c r="C33" s="2">
        <f>'Treas Data'!D32</f>
        <v>18511906931.849998</v>
      </c>
      <c r="G33" s="22" t="s">
        <v>111</v>
      </c>
      <c r="H33" s="11" t="s">
        <v>7</v>
      </c>
      <c r="I33" s="14" t="s">
        <v>9</v>
      </c>
      <c r="J33" s="14" t="s">
        <v>9</v>
      </c>
      <c r="L33" s="1">
        <v>14793</v>
      </c>
      <c r="M33" s="18">
        <f>L33</f>
        <v>14793</v>
      </c>
      <c r="O33" s="28"/>
      <c r="P33" s="5"/>
    </row>
    <row r="34" spans="2:16" x14ac:dyDescent="0.25">
      <c r="B34" s="1">
        <v>10409</v>
      </c>
      <c r="C34" s="2">
        <f>'Treas Data'!D33</f>
        <v>17604293201.43</v>
      </c>
      <c r="G34" s="56" t="s">
        <v>112</v>
      </c>
      <c r="H34" s="11" t="s">
        <v>8</v>
      </c>
      <c r="I34" s="14" t="s">
        <v>10</v>
      </c>
      <c r="J34" s="14" t="s">
        <v>10</v>
      </c>
      <c r="L34" s="15">
        <v>42005</v>
      </c>
      <c r="M34" s="18">
        <f>L34</f>
        <v>42005</v>
      </c>
      <c r="O34" s="29"/>
      <c r="P34" s="5"/>
    </row>
    <row r="35" spans="2:16" x14ac:dyDescent="0.25">
      <c r="B35" s="1">
        <v>10773</v>
      </c>
      <c r="C35" s="2">
        <f>'Treas Data'!D34</f>
        <v>16931088484.1</v>
      </c>
      <c r="G35" s="12">
        <v>10773</v>
      </c>
      <c r="H35" s="13">
        <f>'FRED Data'!B8</f>
        <v>104.556</v>
      </c>
      <c r="I35" s="30">
        <f>C35/(H35*1000000000)</f>
        <v>0.16193320788955201</v>
      </c>
      <c r="J35" s="20">
        <f>I35</f>
        <v>0.16193320788955201</v>
      </c>
      <c r="L35" s="15">
        <v>42736</v>
      </c>
      <c r="M35" s="18">
        <f>L35</f>
        <v>42736</v>
      </c>
      <c r="O35" s="29"/>
      <c r="P35" s="26"/>
    </row>
    <row r="36" spans="2:16" x14ac:dyDescent="0.25">
      <c r="B36" s="1">
        <v>11139</v>
      </c>
      <c r="C36" s="2">
        <f>'Treas Data'!D35</f>
        <v>16185309831.43</v>
      </c>
      <c r="G36" s="12">
        <v>11139</v>
      </c>
      <c r="H36" s="13">
        <f>'FRED Data'!B9</f>
        <v>92.16</v>
      </c>
      <c r="I36" s="30">
        <f t="shared" ref="I36:I99" si="0">C36/(H36*1000000000)</f>
        <v>0.17562185146950957</v>
      </c>
      <c r="J36" s="20">
        <f t="shared" ref="J36:J45" si="1">I36</f>
        <v>0.17562185146950957</v>
      </c>
      <c r="O36" s="5"/>
      <c r="P36" s="5"/>
    </row>
    <row r="37" spans="2:16" x14ac:dyDescent="0.25">
      <c r="B37" s="1">
        <v>11504</v>
      </c>
      <c r="C37" s="2">
        <f>'Treas Data'!D36</f>
        <v>16801281491.709999</v>
      </c>
      <c r="G37" s="12">
        <v>11504</v>
      </c>
      <c r="H37" s="13">
        <f>'FRED Data'!B10</f>
        <v>77.391000000000005</v>
      </c>
      <c r="I37" s="30">
        <f t="shared" si="0"/>
        <v>0.21709606403470685</v>
      </c>
      <c r="J37" s="20">
        <f t="shared" si="1"/>
        <v>0.21709606403470685</v>
      </c>
      <c r="L37" t="s">
        <v>149</v>
      </c>
    </row>
    <row r="38" spans="2:16" x14ac:dyDescent="0.25">
      <c r="B38" s="1">
        <v>11870</v>
      </c>
      <c r="C38" s="2">
        <f>'Treas Data'!D37</f>
        <v>19487002444.130001</v>
      </c>
      <c r="G38" s="12">
        <v>11870</v>
      </c>
      <c r="H38" s="13">
        <f>'FRED Data'!B11</f>
        <v>59.521999999999998</v>
      </c>
      <c r="I38" s="30">
        <f t="shared" si="0"/>
        <v>0.32739159376583449</v>
      </c>
      <c r="J38" s="20">
        <f t="shared" si="1"/>
        <v>0.32739159376583449</v>
      </c>
      <c r="L38" s="15">
        <v>40086</v>
      </c>
      <c r="M38">
        <f>0.82</f>
        <v>0.82</v>
      </c>
    </row>
    <row r="39" spans="2:16" x14ac:dyDescent="0.25">
      <c r="B39" s="1">
        <v>12235</v>
      </c>
      <c r="C39" s="2">
        <f>'Treas Data'!D38</f>
        <v>22538672560.150002</v>
      </c>
      <c r="G39" s="12">
        <v>12235</v>
      </c>
      <c r="H39" s="13">
        <f>'FRED Data'!B12</f>
        <v>57.154000000000003</v>
      </c>
      <c r="I39" s="30">
        <f t="shared" si="0"/>
        <v>0.39434987157766738</v>
      </c>
      <c r="J39" s="20">
        <f t="shared" si="1"/>
        <v>0.39434987157766738</v>
      </c>
      <c r="L39" s="15">
        <f>L38</f>
        <v>40086</v>
      </c>
      <c r="M39">
        <v>0</v>
      </c>
    </row>
    <row r="40" spans="2:16" x14ac:dyDescent="0.25">
      <c r="B40" s="1">
        <v>12600</v>
      </c>
      <c r="C40" s="2">
        <f>'Treas Data'!D39</f>
        <v>27053141414.48</v>
      </c>
      <c r="G40" s="12">
        <v>12600</v>
      </c>
      <c r="H40" s="13">
        <f>'FRED Data'!B13</f>
        <v>66.8</v>
      </c>
      <c r="I40" s="30">
        <f t="shared" si="0"/>
        <v>0.4049871469233533</v>
      </c>
      <c r="J40" s="20">
        <f t="shared" si="1"/>
        <v>0.4049871469233533</v>
      </c>
    </row>
    <row r="41" spans="2:16" x14ac:dyDescent="0.25">
      <c r="B41" s="1">
        <v>12964</v>
      </c>
      <c r="C41" s="2">
        <f>'Treas Data'!D40</f>
        <v>28700892624.529999</v>
      </c>
      <c r="G41" s="12">
        <v>12964</v>
      </c>
      <c r="H41" s="13">
        <f>'FRED Data'!B14</f>
        <v>74.241</v>
      </c>
      <c r="I41" s="30">
        <f t="shared" si="0"/>
        <v>0.3865908679103191</v>
      </c>
      <c r="J41" s="20">
        <f t="shared" si="1"/>
        <v>0.3865908679103191</v>
      </c>
    </row>
    <row r="42" spans="2:16" x14ac:dyDescent="0.25">
      <c r="B42" s="1">
        <v>13331</v>
      </c>
      <c r="C42" s="2">
        <f>'Treas Data'!D41</f>
        <v>33778543493.73</v>
      </c>
      <c r="G42" s="12">
        <v>13331</v>
      </c>
      <c r="H42" s="13">
        <f>'FRED Data'!B15</f>
        <v>84.83</v>
      </c>
      <c r="I42" s="30">
        <f t="shared" si="0"/>
        <v>0.39819101136072144</v>
      </c>
      <c r="J42" s="20">
        <f t="shared" si="1"/>
        <v>0.39819101136072144</v>
      </c>
    </row>
    <row r="43" spans="2:16" x14ac:dyDescent="0.25">
      <c r="B43" s="1">
        <v>13696</v>
      </c>
      <c r="C43" s="2">
        <f>'Treas Data'!D42</f>
        <v>36424613732.290001</v>
      </c>
      <c r="G43" s="12">
        <v>13696</v>
      </c>
      <c r="H43" s="13">
        <f>'FRED Data'!B16</f>
        <v>93.003</v>
      </c>
      <c r="I43" s="30">
        <f t="shared" si="0"/>
        <v>0.39164987938335322</v>
      </c>
      <c r="J43" s="20">
        <f t="shared" si="1"/>
        <v>0.39164987938335322</v>
      </c>
      <c r="K43" s="22"/>
    </row>
    <row r="44" spans="2:16" x14ac:dyDescent="0.25">
      <c r="B44" s="1">
        <v>14061</v>
      </c>
      <c r="C44" s="2">
        <f>'Treas Data'!D43</f>
        <v>37164740315.449997</v>
      </c>
      <c r="G44" s="12">
        <v>14061</v>
      </c>
      <c r="H44" s="13">
        <f>'FRED Data'!B17</f>
        <v>87.352000000000004</v>
      </c>
      <c r="I44" s="30">
        <f t="shared" si="0"/>
        <v>0.42545952371382451</v>
      </c>
      <c r="J44" s="20">
        <f t="shared" si="1"/>
        <v>0.42545952371382451</v>
      </c>
      <c r="K44" s="22"/>
    </row>
    <row r="45" spans="2:16" x14ac:dyDescent="0.25">
      <c r="B45" s="1">
        <v>14426</v>
      </c>
      <c r="C45" s="2">
        <f>'Treas Data'!D44</f>
        <v>40439532411.110001</v>
      </c>
      <c r="G45" s="12">
        <v>14426</v>
      </c>
      <c r="H45" s="13">
        <f>'FRED Data'!B18</f>
        <v>93.436999999999998</v>
      </c>
      <c r="I45" s="30">
        <f t="shared" si="0"/>
        <v>0.43279998727602559</v>
      </c>
      <c r="J45" s="20">
        <f t="shared" si="1"/>
        <v>0.43279998727602559</v>
      </c>
      <c r="K45" s="22"/>
    </row>
    <row r="46" spans="2:16" x14ac:dyDescent="0.25">
      <c r="B46" s="1">
        <v>14791</v>
      </c>
      <c r="C46" s="2">
        <f>'Treas Data'!D45</f>
        <v>42967531037.68</v>
      </c>
      <c r="D46" s="81">
        <f>C$122/C46</f>
        <v>455.54036364742342</v>
      </c>
      <c r="F46" s="81">
        <f>H$122/H46</f>
        <v>183.57269264035605</v>
      </c>
      <c r="G46" s="12">
        <v>14791</v>
      </c>
      <c r="H46" s="13">
        <f>'FRED Data'!B19</f>
        <v>102.899</v>
      </c>
      <c r="I46" s="30">
        <f t="shared" si="0"/>
        <v>0.41756995731425961</v>
      </c>
      <c r="J46" s="31">
        <f>'OMB 2008'!J11/100</f>
        <v>0.52400000000000002</v>
      </c>
      <c r="K46" t="s">
        <v>47</v>
      </c>
    </row>
    <row r="47" spans="2:16" x14ac:dyDescent="0.25">
      <c r="B47" s="1">
        <v>15157</v>
      </c>
      <c r="C47" s="2">
        <f>'Treas Data'!D46</f>
        <v>48961443535.709999</v>
      </c>
      <c r="G47" s="12">
        <v>15157</v>
      </c>
      <c r="H47" s="13">
        <f>'FRED Data'!B20</f>
        <v>129.309</v>
      </c>
      <c r="I47" s="30">
        <f t="shared" si="0"/>
        <v>0.37863910118947636</v>
      </c>
      <c r="J47" s="31">
        <f>'OMB 2008'!J12/100</f>
        <v>0.504</v>
      </c>
      <c r="K47" t="s">
        <v>44</v>
      </c>
    </row>
    <row r="48" spans="2:16" x14ac:dyDescent="0.25">
      <c r="B48" s="1">
        <v>15522</v>
      </c>
      <c r="C48" s="2">
        <f>'Treas Data'!D47</f>
        <v>72422445116.220001</v>
      </c>
      <c r="G48" s="12">
        <v>15522</v>
      </c>
      <c r="H48" s="13">
        <f>'FRED Data'!B21</f>
        <v>165.952</v>
      </c>
      <c r="I48" s="30">
        <f t="shared" si="0"/>
        <v>0.43640597953757715</v>
      </c>
      <c r="J48" s="31">
        <f>'OMB 2008'!J13/100</f>
        <v>0.54899999999999993</v>
      </c>
      <c r="K48" t="s">
        <v>48</v>
      </c>
    </row>
    <row r="49" spans="2:23" x14ac:dyDescent="0.25">
      <c r="B49" s="1">
        <v>15887</v>
      </c>
      <c r="C49" s="2">
        <f>'Treas Data'!D48</f>
        <v>136696090329.89999</v>
      </c>
      <c r="G49" s="12">
        <v>15887</v>
      </c>
      <c r="H49" s="13">
        <f>'FRED Data'!B22</f>
        <v>203.084</v>
      </c>
      <c r="I49" s="30">
        <f t="shared" si="0"/>
        <v>0.67310123067252958</v>
      </c>
      <c r="J49" s="31">
        <f>'OMB 2008'!J14/100</f>
        <v>0.79099999999999993</v>
      </c>
      <c r="K49" t="s">
        <v>52</v>
      </c>
    </row>
    <row r="50" spans="2:23" x14ac:dyDescent="0.25">
      <c r="B50" s="1">
        <v>16253</v>
      </c>
      <c r="C50" s="2">
        <f>'Treas Data'!D49</f>
        <v>201003387221.13</v>
      </c>
      <c r="G50" s="12">
        <v>16253</v>
      </c>
      <c r="H50" s="13">
        <f>'FRED Data'!B23</f>
        <v>224.447</v>
      </c>
      <c r="I50" s="30">
        <f t="shared" si="0"/>
        <v>0.89554944918457369</v>
      </c>
      <c r="J50" s="31">
        <f>'OMB 2008'!J15/100</f>
        <v>0.97599999999999998</v>
      </c>
      <c r="K50" t="s">
        <v>53</v>
      </c>
      <c r="V50" s="65" t="s">
        <v>150</v>
      </c>
    </row>
    <row r="51" spans="2:23" x14ac:dyDescent="0.25">
      <c r="B51" s="1">
        <v>16618</v>
      </c>
      <c r="C51" s="2">
        <f>'Treas Data'!D50</f>
        <v>258682187409.92999</v>
      </c>
      <c r="D51" s="81">
        <f>C$122/C51</f>
        <v>75.66599351086721</v>
      </c>
      <c r="F51" s="81">
        <f>H$122/H51</f>
        <v>82.845906046744176</v>
      </c>
      <c r="G51" s="12">
        <v>16618</v>
      </c>
      <c r="H51" s="13">
        <f>'FRED Data'!B24</f>
        <v>228.00700000000001</v>
      </c>
      <c r="I51" s="30">
        <f t="shared" si="0"/>
        <v>1.1345361651612889</v>
      </c>
      <c r="J51" s="31">
        <f>'OMB 2008'!J16/100</f>
        <v>1.175</v>
      </c>
      <c r="K51" t="s">
        <v>54</v>
      </c>
      <c r="Q51" s="45"/>
      <c r="R51" s="45"/>
      <c r="V51" s="65" t="s">
        <v>151</v>
      </c>
    </row>
    <row r="52" spans="2:23" x14ac:dyDescent="0.25">
      <c r="B52" s="1">
        <v>16981</v>
      </c>
      <c r="C52" s="2">
        <f>'Treas Data'!D51</f>
        <v>269422099173.26001</v>
      </c>
      <c r="D52" s="81">
        <f>C$122/C52</f>
        <v>72.649737248722886</v>
      </c>
      <c r="F52" s="81">
        <f>H$122/H52</f>
        <v>83.017762102533666</v>
      </c>
      <c r="G52" s="12">
        <v>16981</v>
      </c>
      <c r="H52" s="13">
        <f>'FRED Data'!B25</f>
        <v>227.535</v>
      </c>
      <c r="I52" s="30">
        <f t="shared" si="0"/>
        <v>1.1840907955842399</v>
      </c>
      <c r="J52" s="31">
        <f>'OMB 2008'!J17/100</f>
        <v>1.2170000000000001</v>
      </c>
      <c r="V52" s="69" t="s">
        <v>152</v>
      </c>
      <c r="W52" s="44" t="s">
        <v>153</v>
      </c>
    </row>
    <row r="53" spans="2:23" x14ac:dyDescent="0.25">
      <c r="B53" s="1">
        <v>17348</v>
      </c>
      <c r="C53" s="2">
        <f>'Treas Data'!D52</f>
        <v>258286383108.67001</v>
      </c>
      <c r="G53" s="12">
        <v>17348</v>
      </c>
      <c r="H53" s="13">
        <f>'FRED Data'!B26</f>
        <v>249.61600000000001</v>
      </c>
      <c r="I53" s="30">
        <f t="shared" si="0"/>
        <v>1.0347348852183755</v>
      </c>
      <c r="J53" s="31">
        <f>'OMB 2008'!J18/100</f>
        <v>1.103</v>
      </c>
      <c r="K53" t="s">
        <v>113</v>
      </c>
      <c r="Q53" s="44"/>
      <c r="R53" s="44"/>
      <c r="V53" s="44">
        <f>IF(J53&gt;J52,1,0)</f>
        <v>0</v>
      </c>
      <c r="W53" s="44">
        <v>1</v>
      </c>
    </row>
    <row r="54" spans="2:23" x14ac:dyDescent="0.25">
      <c r="B54" s="1">
        <v>17714</v>
      </c>
      <c r="C54" s="2">
        <f>'Treas Data'!D53</f>
        <v>252292246512.98999</v>
      </c>
      <c r="G54" s="12">
        <v>17714</v>
      </c>
      <c r="H54" s="13">
        <f>'FRED Data'!B27</f>
        <v>274.46800000000002</v>
      </c>
      <c r="I54" s="30">
        <f t="shared" si="0"/>
        <v>0.91920459402549648</v>
      </c>
      <c r="J54" s="31">
        <f>'OMB 2008'!J19/100</f>
        <v>0.9840000000000001</v>
      </c>
      <c r="Q54" s="44"/>
      <c r="R54" s="44"/>
      <c r="V54" s="44">
        <f>IF(J54&gt;J53,1,0)</f>
        <v>0</v>
      </c>
      <c r="W54" s="44">
        <f>1+W53</f>
        <v>2</v>
      </c>
    </row>
    <row r="55" spans="2:23" x14ac:dyDescent="0.25">
      <c r="B55" s="1">
        <v>18079</v>
      </c>
      <c r="C55" s="2">
        <f>'Treas Data'!D54</f>
        <v>252770359860.32999</v>
      </c>
      <c r="G55" s="12">
        <v>18079</v>
      </c>
      <c r="H55" s="13">
        <f>'FRED Data'!B28</f>
        <v>272.47500000000002</v>
      </c>
      <c r="I55" s="30">
        <f t="shared" si="0"/>
        <v>0.92768275937363043</v>
      </c>
      <c r="J55" s="31">
        <f>'OMB 2008'!J20/100</f>
        <v>0.93200000000000005</v>
      </c>
      <c r="Q55" s="44"/>
      <c r="R55" s="44"/>
      <c r="V55" s="44">
        <f t="shared" ref="V55:V118" si="2">IF(J55&gt;J54,1,0)</f>
        <v>0</v>
      </c>
      <c r="W55" s="44">
        <f t="shared" ref="W55:W88" si="3">1+W54</f>
        <v>3</v>
      </c>
    </row>
    <row r="56" spans="2:23" x14ac:dyDescent="0.25">
      <c r="B56" s="1">
        <v>18444</v>
      </c>
      <c r="C56" s="2">
        <f>'Treas Data'!D55</f>
        <v>257357352351.04001</v>
      </c>
      <c r="G56" s="12">
        <v>18444</v>
      </c>
      <c r="H56" s="13">
        <f>'FRED Data'!B29</f>
        <v>299.827</v>
      </c>
      <c r="I56" s="30">
        <f t="shared" si="0"/>
        <v>0.85835282463233797</v>
      </c>
      <c r="J56" s="31">
        <f>'OMB 2008'!J21/100</f>
        <v>0.94099999999999995</v>
      </c>
      <c r="Q56" s="44"/>
      <c r="R56" s="44"/>
      <c r="V56" s="44">
        <f t="shared" si="2"/>
        <v>1</v>
      </c>
      <c r="W56" s="44">
        <f t="shared" si="3"/>
        <v>4</v>
      </c>
    </row>
    <row r="57" spans="2:23" x14ac:dyDescent="0.25">
      <c r="B57" s="1">
        <v>18808</v>
      </c>
      <c r="C57" s="2">
        <f>'Treas Data'!D56</f>
        <v>255221976814.92999</v>
      </c>
      <c r="G57" s="12">
        <v>18808</v>
      </c>
      <c r="H57" s="13">
        <f>'FRED Data'!B30</f>
        <v>346.91399999999999</v>
      </c>
      <c r="I57" s="30">
        <f t="shared" si="0"/>
        <v>0.73569235261456722</v>
      </c>
      <c r="J57" s="31">
        <f>'OMB 2008'!J22/100</f>
        <v>0.79599999999999993</v>
      </c>
      <c r="Q57" s="44"/>
      <c r="R57" s="44"/>
      <c r="V57" s="44">
        <f t="shared" si="2"/>
        <v>0</v>
      </c>
      <c r="W57" s="44">
        <f t="shared" si="3"/>
        <v>5</v>
      </c>
    </row>
    <row r="58" spans="2:23" x14ac:dyDescent="0.25">
      <c r="B58" s="1">
        <v>19175</v>
      </c>
      <c r="C58" s="2">
        <f>'Treas Data'!D57</f>
        <v>259105178785.42999</v>
      </c>
      <c r="G58" s="12">
        <v>19175</v>
      </c>
      <c r="H58" s="13">
        <f>'FRED Data'!B31</f>
        <v>367.34100000000001</v>
      </c>
      <c r="I58" s="30">
        <f t="shared" si="0"/>
        <v>0.70535327879389997</v>
      </c>
      <c r="J58" s="31">
        <f>'OMB 2008'!J23/100</f>
        <v>0.74299999999999999</v>
      </c>
      <c r="L58" s="64" t="s">
        <v>144</v>
      </c>
      <c r="Q58" s="44"/>
      <c r="R58" s="44"/>
      <c r="V58" s="44">
        <f t="shared" si="2"/>
        <v>0</v>
      </c>
      <c r="W58" s="44">
        <f t="shared" si="3"/>
        <v>6</v>
      </c>
    </row>
    <row r="59" spans="2:23" x14ac:dyDescent="0.25">
      <c r="B59" s="1">
        <v>19540</v>
      </c>
      <c r="C59" s="2">
        <f>'Treas Data'!D58</f>
        <v>266071061638.57001</v>
      </c>
      <c r="G59" s="12">
        <v>19540</v>
      </c>
      <c r="H59" s="13">
        <f>'FRED Data'!B32</f>
        <v>389.21800000000002</v>
      </c>
      <c r="I59" s="30">
        <f t="shared" si="0"/>
        <v>0.68360420545444966</v>
      </c>
      <c r="J59" s="31">
        <f>'OMB 2008'!J24/100</f>
        <v>0.71299999999999997</v>
      </c>
      <c r="L59" t="s">
        <v>145</v>
      </c>
      <c r="Q59" s="44"/>
      <c r="R59" s="44"/>
      <c r="V59" s="44">
        <f t="shared" si="2"/>
        <v>0</v>
      </c>
      <c r="W59" s="44">
        <f t="shared" si="3"/>
        <v>7</v>
      </c>
    </row>
    <row r="60" spans="2:23" x14ac:dyDescent="0.25">
      <c r="B60" s="1">
        <v>19905</v>
      </c>
      <c r="C60" s="2">
        <f>'Treas Data'!D59</f>
        <v>271259599108.45999</v>
      </c>
      <c r="G60" s="12">
        <v>19905</v>
      </c>
      <c r="H60" s="13">
        <f>'FRED Data'!B33</f>
        <v>390.54899999999998</v>
      </c>
      <c r="I60" s="30">
        <f t="shared" si="0"/>
        <v>0.69455970725430094</v>
      </c>
      <c r="J60" s="31">
        <f>'OMB 2008'!J25/100</f>
        <v>0.71799999999999997</v>
      </c>
      <c r="L60" t="s">
        <v>135</v>
      </c>
      <c r="Q60" s="44"/>
      <c r="R60" s="44"/>
      <c r="V60" s="44">
        <f t="shared" si="2"/>
        <v>1</v>
      </c>
      <c r="W60" s="44">
        <f t="shared" si="3"/>
        <v>8</v>
      </c>
    </row>
    <row r="61" spans="2:23" x14ac:dyDescent="0.25">
      <c r="B61" s="1">
        <v>20270</v>
      </c>
      <c r="C61" s="2">
        <f>'Treas Data'!D60</f>
        <v>274374222802.62</v>
      </c>
      <c r="G61" s="12">
        <v>20270</v>
      </c>
      <c r="H61" s="13">
        <f>'FRED Data'!B34</f>
        <v>425.47800000000001</v>
      </c>
      <c r="I61" s="30">
        <f t="shared" si="0"/>
        <v>0.6448611274910101</v>
      </c>
      <c r="J61" s="31">
        <f>'OMB 2008'!J26/100</f>
        <v>0.69499999999999995</v>
      </c>
      <c r="L61" t="s">
        <v>133</v>
      </c>
      <c r="Q61" s="44"/>
      <c r="R61" s="44"/>
      <c r="V61" s="44">
        <f t="shared" si="2"/>
        <v>0</v>
      </c>
      <c r="W61" s="44">
        <f t="shared" si="3"/>
        <v>9</v>
      </c>
    </row>
    <row r="62" spans="2:23" x14ac:dyDescent="0.25">
      <c r="B62" s="1">
        <v>20636</v>
      </c>
      <c r="C62" s="2">
        <f>'Treas Data'!D61</f>
        <v>272750813649.32001</v>
      </c>
      <c r="G62" s="12">
        <v>20636</v>
      </c>
      <c r="H62" s="13">
        <f>'FRED Data'!B35</f>
        <v>449.35300000000001</v>
      </c>
      <c r="I62" s="30">
        <f t="shared" si="0"/>
        <v>0.60698562967048175</v>
      </c>
      <c r="J62" s="31">
        <f>'OMB 2008'!J27/100</f>
        <v>0.63800000000000001</v>
      </c>
      <c r="L62" t="s">
        <v>134</v>
      </c>
      <c r="Q62" s="44"/>
      <c r="R62" s="44"/>
      <c r="V62" s="44">
        <f t="shared" si="2"/>
        <v>0</v>
      </c>
      <c r="W62" s="44">
        <f t="shared" si="3"/>
        <v>10</v>
      </c>
    </row>
    <row r="63" spans="2:23" x14ac:dyDescent="0.25">
      <c r="B63" s="1">
        <v>21001</v>
      </c>
      <c r="C63" s="2">
        <f>'Treas Data'!D62</f>
        <v>270527171896.42999</v>
      </c>
      <c r="G63" s="12">
        <v>21001</v>
      </c>
      <c r="H63" s="13">
        <f>'FRED Data'!B36</f>
        <v>474.03899999999999</v>
      </c>
      <c r="I63" s="30">
        <f t="shared" si="0"/>
        <v>0.57068547502722344</v>
      </c>
      <c r="J63" s="31">
        <f>'OMB 2008'!J28/100</f>
        <v>0.60499999999999998</v>
      </c>
      <c r="L63" t="s">
        <v>140</v>
      </c>
      <c r="Q63" s="44"/>
      <c r="R63" s="44"/>
      <c r="V63" s="44">
        <f t="shared" si="2"/>
        <v>0</v>
      </c>
      <c r="W63" s="44">
        <f t="shared" si="3"/>
        <v>11</v>
      </c>
    </row>
    <row r="64" spans="2:23" x14ac:dyDescent="0.25">
      <c r="B64" s="1">
        <v>21366</v>
      </c>
      <c r="C64" s="2">
        <f>'Treas Data'!D63</f>
        <v>276343217745.81</v>
      </c>
      <c r="G64" s="12">
        <v>21366</v>
      </c>
      <c r="H64" s="13">
        <f>'FRED Data'!B37</f>
        <v>481.22899999999998</v>
      </c>
      <c r="I64" s="30">
        <f t="shared" si="0"/>
        <v>0.57424473118995323</v>
      </c>
      <c r="J64" s="31">
        <f>'OMB 2008'!J29/100</f>
        <v>0.60699999999999998</v>
      </c>
      <c r="L64" t="s">
        <v>141</v>
      </c>
      <c r="Q64" s="44"/>
      <c r="R64" s="44"/>
      <c r="V64" s="44">
        <f t="shared" si="2"/>
        <v>1</v>
      </c>
      <c r="W64" s="44">
        <f t="shared" si="3"/>
        <v>12</v>
      </c>
    </row>
    <row r="65" spans="2:23" x14ac:dyDescent="0.25">
      <c r="B65" s="1">
        <v>21731</v>
      </c>
      <c r="C65" s="2">
        <f>'Treas Data'!D64</f>
        <v>284705907078.21997</v>
      </c>
      <c r="G65" s="12">
        <v>21731</v>
      </c>
      <c r="H65" s="13">
        <f>'FRED Data'!B38</f>
        <v>521.654</v>
      </c>
      <c r="I65" s="30">
        <f t="shared" si="0"/>
        <v>0.54577537424848643</v>
      </c>
      <c r="J65" s="31">
        <f>'OMB 2008'!J30/100</f>
        <v>0.58499999999999996</v>
      </c>
      <c r="L65" t="s">
        <v>136</v>
      </c>
      <c r="Q65" s="44"/>
      <c r="R65" s="44"/>
      <c r="V65" s="44">
        <f t="shared" si="2"/>
        <v>0</v>
      </c>
      <c r="W65" s="44">
        <f t="shared" si="3"/>
        <v>13</v>
      </c>
    </row>
    <row r="66" spans="2:23" x14ac:dyDescent="0.25">
      <c r="B66" s="1">
        <v>22097</v>
      </c>
      <c r="C66" s="2">
        <f>'Treas Data'!D65</f>
        <v>286330760848.37</v>
      </c>
      <c r="G66" s="12">
        <v>22097</v>
      </c>
      <c r="H66" s="13">
        <f>'FRED Data'!B39</f>
        <v>542.38199999999995</v>
      </c>
      <c r="I66" s="30">
        <f t="shared" si="0"/>
        <v>0.52791346476905576</v>
      </c>
      <c r="J66" s="31">
        <f>'OMB 2008'!J31/100</f>
        <v>0.56100000000000005</v>
      </c>
      <c r="L66" t="s">
        <v>137</v>
      </c>
      <c r="Q66" s="44"/>
      <c r="R66" s="44"/>
      <c r="V66" s="44">
        <f t="shared" si="2"/>
        <v>0</v>
      </c>
      <c r="W66" s="44">
        <f t="shared" si="3"/>
        <v>14</v>
      </c>
    </row>
    <row r="67" spans="2:23" x14ac:dyDescent="0.25">
      <c r="B67" s="1">
        <v>22462</v>
      </c>
      <c r="C67" s="2">
        <f>'Treas Data'!D66</f>
        <v>288970938610.04999</v>
      </c>
      <c r="G67" s="12">
        <v>22462</v>
      </c>
      <c r="H67" s="13">
        <f>'FRED Data'!B40</f>
        <v>562.21</v>
      </c>
      <c r="I67" s="30">
        <f t="shared" si="0"/>
        <v>0.51399110405373438</v>
      </c>
      <c r="J67" s="31">
        <f>'OMB 2008'!J32/100</f>
        <v>0.55100000000000005</v>
      </c>
      <c r="L67" t="s">
        <v>138</v>
      </c>
      <c r="Q67" s="44"/>
      <c r="R67" s="44"/>
      <c r="V67" s="44">
        <f t="shared" si="2"/>
        <v>0</v>
      </c>
      <c r="W67" s="44">
        <f t="shared" si="3"/>
        <v>15</v>
      </c>
    </row>
    <row r="68" spans="2:23" x14ac:dyDescent="0.25">
      <c r="B68" s="1">
        <v>22827</v>
      </c>
      <c r="C68" s="2">
        <f>'Treas Data'!D67</f>
        <v>298200822720.87</v>
      </c>
      <c r="G68" s="12">
        <v>22827</v>
      </c>
      <c r="H68" s="13">
        <f>'FRED Data'!B41</f>
        <v>603.92100000000005</v>
      </c>
      <c r="I68" s="30">
        <f t="shared" si="0"/>
        <v>0.49377455448787178</v>
      </c>
      <c r="J68" s="31">
        <f>'OMB 2008'!J33/100</f>
        <v>0.53400000000000003</v>
      </c>
      <c r="L68" t="s">
        <v>139</v>
      </c>
      <c r="Q68" s="44"/>
      <c r="R68" s="44"/>
      <c r="V68" s="44">
        <f t="shared" si="2"/>
        <v>0</v>
      </c>
      <c r="W68" s="44">
        <f t="shared" si="3"/>
        <v>16</v>
      </c>
    </row>
    <row r="69" spans="2:23" x14ac:dyDescent="0.25">
      <c r="B69" s="1">
        <v>23192</v>
      </c>
      <c r="C69" s="2">
        <f>'Treas Data'!D68</f>
        <v>305859632996.40997</v>
      </c>
      <c r="G69" s="12">
        <v>23192</v>
      </c>
      <c r="H69" s="13">
        <f>'FRED Data'!B42</f>
        <v>637.45100000000002</v>
      </c>
      <c r="I69" s="30">
        <f t="shared" si="0"/>
        <v>0.4798166964933932</v>
      </c>
      <c r="J69" s="31">
        <f>'OMB 2008'!J34/100</f>
        <v>0.51800000000000002</v>
      </c>
      <c r="Q69" s="44"/>
      <c r="R69" s="44"/>
      <c r="V69" s="44">
        <f t="shared" si="2"/>
        <v>0</v>
      </c>
      <c r="W69" s="44">
        <f t="shared" si="3"/>
        <v>17</v>
      </c>
    </row>
    <row r="70" spans="2:23" x14ac:dyDescent="0.25">
      <c r="B70" s="1">
        <v>23558</v>
      </c>
      <c r="C70" s="2">
        <f>'Treas Data'!D69</f>
        <v>311712899257.29999</v>
      </c>
      <c r="G70" s="12">
        <v>23558</v>
      </c>
      <c r="H70" s="13">
        <f>'FRED Data'!B43</f>
        <v>684.46</v>
      </c>
      <c r="I70" s="30">
        <f t="shared" si="0"/>
        <v>0.45541434014741544</v>
      </c>
      <c r="J70" s="31">
        <f>'OMB 2008'!J35/100</f>
        <v>0.49399999999999999</v>
      </c>
      <c r="L70" t="s">
        <v>146</v>
      </c>
      <c r="Q70" s="44"/>
      <c r="R70" s="44"/>
      <c r="V70" s="44">
        <f t="shared" si="2"/>
        <v>0</v>
      </c>
      <c r="W70" s="44">
        <f t="shared" si="3"/>
        <v>18</v>
      </c>
    </row>
    <row r="71" spans="2:23" x14ac:dyDescent="0.25">
      <c r="B71" s="1">
        <v>23923</v>
      </c>
      <c r="C71" s="2">
        <f>'Treas Data'!D70</f>
        <v>317273898983.64001</v>
      </c>
      <c r="G71" s="12">
        <v>23923</v>
      </c>
      <c r="H71" s="13">
        <f>'FRED Data'!B44</f>
        <v>742.28899999999999</v>
      </c>
      <c r="I71" s="30">
        <f t="shared" si="0"/>
        <v>0.42742637838313652</v>
      </c>
      <c r="J71" s="31">
        <f>'OMB 2008'!J36/100</f>
        <v>0.46899999999999997</v>
      </c>
      <c r="L71" t="s">
        <v>147</v>
      </c>
      <c r="Q71" s="44"/>
      <c r="R71" s="44"/>
      <c r="V71" s="44">
        <f t="shared" si="2"/>
        <v>0</v>
      </c>
      <c r="W71" s="44">
        <f t="shared" si="3"/>
        <v>19</v>
      </c>
    </row>
    <row r="72" spans="2:23" x14ac:dyDescent="0.25">
      <c r="B72" s="1">
        <v>24288</v>
      </c>
      <c r="C72" s="2">
        <f>'Treas Data'!D71</f>
        <v>319907087795.47998</v>
      </c>
      <c r="G72" s="12">
        <v>24288</v>
      </c>
      <c r="H72" s="13">
        <f>'FRED Data'!B45</f>
        <v>813.41399999999999</v>
      </c>
      <c r="I72" s="30">
        <f t="shared" si="0"/>
        <v>0.39328938006412478</v>
      </c>
      <c r="J72" s="31">
        <f>'OMB 2008'!J37/100</f>
        <v>0.436</v>
      </c>
      <c r="L72" t="s">
        <v>142</v>
      </c>
      <c r="Q72" s="44"/>
      <c r="R72" s="44"/>
      <c r="V72" s="44">
        <f t="shared" si="2"/>
        <v>0</v>
      </c>
      <c r="W72" s="44">
        <f t="shared" si="3"/>
        <v>20</v>
      </c>
    </row>
    <row r="73" spans="2:23" x14ac:dyDescent="0.25">
      <c r="B73" s="1">
        <v>24653</v>
      </c>
      <c r="C73" s="2">
        <f>'Treas Data'!D72</f>
        <v>326220937794.53998</v>
      </c>
      <c r="G73" s="12">
        <v>24653</v>
      </c>
      <c r="H73" s="13">
        <f>'FRED Data'!B46</f>
        <v>859.95799999999997</v>
      </c>
      <c r="I73" s="30">
        <f t="shared" si="0"/>
        <v>0.37934519801494954</v>
      </c>
      <c r="J73" s="31">
        <f>'OMB 2008'!J38/100</f>
        <v>0.41899999999999998</v>
      </c>
      <c r="L73" t="s">
        <v>148</v>
      </c>
      <c r="Q73" s="44"/>
      <c r="R73" s="44"/>
      <c r="V73" s="44">
        <f t="shared" si="2"/>
        <v>0</v>
      </c>
      <c r="W73" s="44">
        <f t="shared" si="3"/>
        <v>21</v>
      </c>
    </row>
    <row r="74" spans="2:23" x14ac:dyDescent="0.25">
      <c r="B74" s="1">
        <v>25019</v>
      </c>
      <c r="C74" s="2">
        <f>'Treas Data'!D73</f>
        <v>347578406425.88</v>
      </c>
      <c r="G74" s="12">
        <v>25019</v>
      </c>
      <c r="H74" s="13">
        <f>'FRED Data'!B47</f>
        <v>940.65099999999995</v>
      </c>
      <c r="I74" s="30">
        <f t="shared" si="0"/>
        <v>0.36950835796260251</v>
      </c>
      <c r="J74" s="31">
        <f>'OMB 2008'!J39/100</f>
        <v>0.42499999999999999</v>
      </c>
      <c r="L74" t="s">
        <v>143</v>
      </c>
      <c r="Q74" s="44"/>
      <c r="R74" s="44"/>
      <c r="V74" s="44">
        <f t="shared" si="2"/>
        <v>1</v>
      </c>
      <c r="W74" s="44">
        <f t="shared" si="3"/>
        <v>22</v>
      </c>
    </row>
    <row r="75" spans="2:23" x14ac:dyDescent="0.25">
      <c r="B75" s="1">
        <v>25384</v>
      </c>
      <c r="C75" s="2">
        <f>'Treas Data'!D74</f>
        <v>353720253841.40997</v>
      </c>
      <c r="G75" s="12">
        <v>25384</v>
      </c>
      <c r="H75" s="13">
        <f>'FRED Data'!B48</f>
        <v>1017.615</v>
      </c>
      <c r="I75" s="30">
        <f t="shared" si="0"/>
        <v>0.34759732692758066</v>
      </c>
      <c r="J75" s="31">
        <f>'OMB 2008'!J40/100</f>
        <v>0.38600000000000001</v>
      </c>
      <c r="Q75" s="44"/>
      <c r="R75" s="44"/>
      <c r="V75" s="44">
        <f t="shared" si="2"/>
        <v>0</v>
      </c>
      <c r="W75" s="44">
        <f t="shared" si="3"/>
        <v>23</v>
      </c>
    </row>
    <row r="76" spans="2:23" x14ac:dyDescent="0.25">
      <c r="B76" s="1">
        <v>25749</v>
      </c>
      <c r="C76" s="2">
        <f>'Treas Data'!D75</f>
        <v>370918706949.92999</v>
      </c>
      <c r="G76" s="12">
        <v>25749</v>
      </c>
      <c r="H76" s="13">
        <f>'FRED Data'!B49</f>
        <v>1073.3030000000001</v>
      </c>
      <c r="I76" s="30">
        <f t="shared" si="0"/>
        <v>0.3455862016130859</v>
      </c>
      <c r="J76" s="31">
        <f>'OMB 2008'!J41/100</f>
        <v>0.376</v>
      </c>
      <c r="Q76" s="44"/>
      <c r="R76" s="44"/>
      <c r="V76" s="44">
        <f t="shared" si="2"/>
        <v>0</v>
      </c>
      <c r="W76" s="44">
        <f t="shared" si="3"/>
        <v>24</v>
      </c>
    </row>
    <row r="77" spans="2:23" x14ac:dyDescent="0.25">
      <c r="B77" s="1">
        <v>26114</v>
      </c>
      <c r="C77" s="2">
        <f>'Treas Data'!D76</f>
        <v>398129744455.53998</v>
      </c>
      <c r="G77" s="12">
        <v>26114</v>
      </c>
      <c r="H77" s="13">
        <f>'FRED Data'!B50</f>
        <v>1164.8499999999999</v>
      </c>
      <c r="I77" s="30">
        <f t="shared" si="0"/>
        <v>0.34178627673566553</v>
      </c>
      <c r="J77" s="31">
        <f>'OMB 2008'!J42/100</f>
        <v>0.37799999999999995</v>
      </c>
      <c r="Q77" s="44"/>
      <c r="R77" s="44"/>
      <c r="V77" s="44">
        <f t="shared" si="2"/>
        <v>1</v>
      </c>
      <c r="W77" s="44">
        <f t="shared" si="3"/>
        <v>25</v>
      </c>
    </row>
    <row r="78" spans="2:23" x14ac:dyDescent="0.25">
      <c r="B78" s="1">
        <v>26480</v>
      </c>
      <c r="C78" s="2">
        <f>'Treas Data'!D77</f>
        <v>427260460940.5</v>
      </c>
      <c r="G78" s="12">
        <v>26480</v>
      </c>
      <c r="H78" s="13">
        <f>'FRED Data'!B51</f>
        <v>1279.1099999999999</v>
      </c>
      <c r="I78" s="30">
        <f t="shared" si="0"/>
        <v>0.33402948998952398</v>
      </c>
      <c r="J78" s="31">
        <f>'OMB 2008'!J43/100</f>
        <v>0.37</v>
      </c>
      <c r="M78" s="118" t="s">
        <v>20</v>
      </c>
      <c r="N78" s="118"/>
      <c r="Q78" s="44"/>
      <c r="R78" s="44"/>
      <c r="V78" s="44">
        <f t="shared" si="2"/>
        <v>0</v>
      </c>
      <c r="W78" s="44">
        <f t="shared" si="3"/>
        <v>26</v>
      </c>
    </row>
    <row r="79" spans="2:23" x14ac:dyDescent="0.25">
      <c r="B79" s="1">
        <v>26845</v>
      </c>
      <c r="C79" s="2">
        <f>'Treas Data'!D78</f>
        <v>458141605312.09003</v>
      </c>
      <c r="G79" s="12">
        <v>26845</v>
      </c>
      <c r="H79" s="13">
        <f>'FRED Data'!B52</f>
        <v>1425.376</v>
      </c>
      <c r="I79" s="30">
        <f t="shared" si="0"/>
        <v>0.32141807166115471</v>
      </c>
      <c r="J79" s="31">
        <f>'OMB 2008'!J44/100</f>
        <v>0.35700000000000004</v>
      </c>
      <c r="M79" s="58"/>
      <c r="N79" s="61" t="s">
        <v>120</v>
      </c>
      <c r="Q79" s="44"/>
      <c r="R79" s="44"/>
      <c r="V79" s="44">
        <f t="shared" si="2"/>
        <v>0</v>
      </c>
      <c r="W79" s="44">
        <f t="shared" si="3"/>
        <v>27</v>
      </c>
    </row>
    <row r="80" spans="2:23" x14ac:dyDescent="0.25">
      <c r="B80" s="1">
        <v>27210</v>
      </c>
      <c r="C80" s="2">
        <f>'Treas Data'!D79</f>
        <v>475059815731.54999</v>
      </c>
      <c r="G80" s="12">
        <v>27210</v>
      </c>
      <c r="H80" s="13">
        <f>'FRED Data'!B53</f>
        <v>1545.2429999999999</v>
      </c>
      <c r="I80" s="30">
        <f t="shared" si="0"/>
        <v>0.30743372772538041</v>
      </c>
      <c r="J80" s="31">
        <f>'OMB 2008'!J45/100</f>
        <v>0.33600000000000002</v>
      </c>
      <c r="M80" s="59" t="s">
        <v>128</v>
      </c>
      <c r="N80" s="62" t="s">
        <v>121</v>
      </c>
      <c r="Q80" s="44"/>
      <c r="R80" s="44"/>
      <c r="V80" s="44">
        <f t="shared" si="2"/>
        <v>0</v>
      </c>
      <c r="W80" s="44">
        <f t="shared" si="3"/>
        <v>28</v>
      </c>
    </row>
    <row r="81" spans="2:23" x14ac:dyDescent="0.25">
      <c r="B81" s="1">
        <v>27575</v>
      </c>
      <c r="C81" s="2">
        <f>'Treas Data'!D80</f>
        <v>533189000000</v>
      </c>
      <c r="G81" s="12">
        <v>27575</v>
      </c>
      <c r="H81" s="13">
        <f>'FRED Data'!B54</f>
        <v>1684.904</v>
      </c>
      <c r="I81" s="30">
        <f t="shared" si="0"/>
        <v>0.31645067018655071</v>
      </c>
      <c r="J81" s="31">
        <f>'OMB 2008'!J46/100</f>
        <v>0.34700000000000003</v>
      </c>
      <c r="M81" s="59" t="s">
        <v>129</v>
      </c>
      <c r="N81" s="62" t="s">
        <v>122</v>
      </c>
      <c r="Q81" s="44"/>
      <c r="R81" s="44"/>
      <c r="V81" s="44">
        <f t="shared" si="2"/>
        <v>1</v>
      </c>
      <c r="W81" s="44">
        <f t="shared" si="3"/>
        <v>29</v>
      </c>
    </row>
    <row r="82" spans="2:23" x14ac:dyDescent="0.25">
      <c r="B82" s="1">
        <v>27941</v>
      </c>
      <c r="C82" s="2">
        <f>'Treas Data'!D81</f>
        <v>620433000000</v>
      </c>
      <c r="E82" s="41" t="s">
        <v>173</v>
      </c>
      <c r="F82" s="41"/>
      <c r="G82" s="74">
        <v>27941</v>
      </c>
      <c r="H82" s="75">
        <f>'FRED Data'!B55</f>
        <v>1873.412</v>
      </c>
      <c r="I82" s="76">
        <f t="shared" si="0"/>
        <v>0.33117808576009977</v>
      </c>
      <c r="J82" s="77">
        <f>'OMB 2008'!J47/100</f>
        <v>0.36200000000000004</v>
      </c>
      <c r="M82" s="59" t="s">
        <v>120</v>
      </c>
      <c r="N82" s="62" t="s">
        <v>123</v>
      </c>
      <c r="Q82" s="44"/>
      <c r="R82" s="44"/>
      <c r="V82" s="44">
        <f t="shared" si="2"/>
        <v>1</v>
      </c>
      <c r="W82" s="44">
        <f t="shared" si="3"/>
        <v>30</v>
      </c>
    </row>
    <row r="83" spans="2:23" x14ac:dyDescent="0.25">
      <c r="B83" s="1">
        <v>28398</v>
      </c>
      <c r="C83" s="2">
        <f>'Treas Data'!D82</f>
        <v>698840000000</v>
      </c>
      <c r="G83" s="12">
        <v>28398</v>
      </c>
      <c r="H83" s="13">
        <f>'FRED Data'!I12</f>
        <v>2141.3715000000002</v>
      </c>
      <c r="I83" s="30">
        <f t="shared" si="0"/>
        <v>0.32635159289268578</v>
      </c>
      <c r="J83" s="31">
        <f>'OMB 2008'!J49/100</f>
        <v>0.35799999999999998</v>
      </c>
      <c r="M83" s="59" t="s">
        <v>130</v>
      </c>
      <c r="N83" s="62" t="s">
        <v>126</v>
      </c>
      <c r="Q83" s="44"/>
      <c r="R83" s="44"/>
      <c r="V83" s="44">
        <f t="shared" si="2"/>
        <v>0</v>
      </c>
      <c r="W83" s="44">
        <f t="shared" si="3"/>
        <v>31</v>
      </c>
    </row>
    <row r="84" spans="2:23" x14ac:dyDescent="0.25">
      <c r="B84" s="1">
        <v>28763</v>
      </c>
      <c r="C84" s="2">
        <f>'Treas Data'!D83</f>
        <v>771544000000</v>
      </c>
      <c r="G84" s="12">
        <v>28763</v>
      </c>
      <c r="H84" s="13">
        <f>'FRED Data'!I13</f>
        <v>2436.0010000000002</v>
      </c>
      <c r="I84" s="30">
        <f t="shared" si="0"/>
        <v>0.31672564994841956</v>
      </c>
      <c r="J84" s="31">
        <f>'OMB 2008'!J50/100</f>
        <v>0.35</v>
      </c>
      <c r="M84" s="59" t="s">
        <v>16</v>
      </c>
      <c r="N84" s="62" t="s">
        <v>127</v>
      </c>
      <c r="O84" s="23" t="s">
        <v>21</v>
      </c>
      <c r="Q84" s="44"/>
      <c r="R84" s="44"/>
      <c r="V84" s="44">
        <f t="shared" si="2"/>
        <v>0</v>
      </c>
      <c r="W84" s="44">
        <f t="shared" si="3"/>
        <v>32</v>
      </c>
    </row>
    <row r="85" spans="2:23" x14ac:dyDescent="0.25">
      <c r="B85" s="1">
        <v>29128</v>
      </c>
      <c r="C85" s="2">
        <f>'Treas Data'!D84</f>
        <v>826519000000</v>
      </c>
      <c r="G85" s="12">
        <v>29128</v>
      </c>
      <c r="H85" s="13">
        <f>'FRED Data'!I14</f>
        <v>2695.7240000000002</v>
      </c>
      <c r="I85" s="30">
        <f t="shared" si="0"/>
        <v>0.30660371759126676</v>
      </c>
      <c r="J85" s="31">
        <f>'OMB 2008'!J51/100</f>
        <v>0.33200000000000002</v>
      </c>
      <c r="M85" s="59" t="s">
        <v>131</v>
      </c>
      <c r="N85" s="62" t="s">
        <v>125</v>
      </c>
      <c r="O85" s="23" t="s">
        <v>22</v>
      </c>
      <c r="Q85" s="44"/>
      <c r="R85" s="44"/>
      <c r="V85" s="44">
        <f t="shared" si="2"/>
        <v>0</v>
      </c>
      <c r="W85" s="44">
        <f t="shared" si="3"/>
        <v>33</v>
      </c>
    </row>
    <row r="86" spans="2:23" x14ac:dyDescent="0.25">
      <c r="B86" s="1">
        <v>29494</v>
      </c>
      <c r="C86" s="2">
        <f>'Treas Data'!D85</f>
        <v>907701000000</v>
      </c>
      <c r="E86" t="s">
        <v>119</v>
      </c>
      <c r="G86" s="12">
        <v>29494</v>
      </c>
      <c r="H86" s="13">
        <f>'FRED Data'!I15</f>
        <v>2921.02</v>
      </c>
      <c r="I86" s="30">
        <f t="shared" si="0"/>
        <v>0.31074795790511534</v>
      </c>
      <c r="J86" s="31">
        <f>'OMB 2008'!J52/100</f>
        <v>0.33299999999999996</v>
      </c>
      <c r="M86" s="60" t="s">
        <v>132</v>
      </c>
      <c r="N86" s="63" t="s">
        <v>124</v>
      </c>
      <c r="O86" s="24" t="s">
        <v>24</v>
      </c>
      <c r="Q86" s="44"/>
      <c r="R86" s="44"/>
      <c r="V86" s="44">
        <f t="shared" si="2"/>
        <v>1</v>
      </c>
      <c r="W86" s="44">
        <f t="shared" si="3"/>
        <v>34</v>
      </c>
    </row>
    <row r="87" spans="2:23" x14ac:dyDescent="0.25">
      <c r="B87" s="1">
        <v>29859</v>
      </c>
      <c r="C87" s="2">
        <f>'Treas Data'!D86</f>
        <v>997855000000</v>
      </c>
      <c r="D87" s="83">
        <f>67*(C95-C87)/10^12</f>
        <v>124.59158933255043</v>
      </c>
      <c r="E87" t="s">
        <v>114</v>
      </c>
      <c r="G87" s="12">
        <v>29859</v>
      </c>
      <c r="H87" s="13">
        <f>'FRED Data'!I16</f>
        <v>3270.7134999999998</v>
      </c>
      <c r="I87" s="30">
        <f t="shared" si="0"/>
        <v>0.30508786538472416</v>
      </c>
      <c r="J87" s="31">
        <f>'OMB 2008'!J53/100</f>
        <v>0.32600000000000001</v>
      </c>
      <c r="K87" s="68">
        <v>1</v>
      </c>
      <c r="L87" s="20">
        <f>M87/H87+K87*(J87-I87)</f>
        <v>0.32600000000000001</v>
      </c>
      <c r="M87" s="21">
        <f>C87/(1000000000)</f>
        <v>997.85500000000002</v>
      </c>
      <c r="N87" s="21">
        <f t="shared" ref="N87:N98" si="4">(C87/1000000000)-M87</f>
        <v>0</v>
      </c>
      <c r="Q87" s="44"/>
      <c r="R87" s="44"/>
      <c r="V87" s="44">
        <f t="shared" si="2"/>
        <v>0</v>
      </c>
      <c r="W87" s="44">
        <f t="shared" si="3"/>
        <v>35</v>
      </c>
    </row>
    <row r="88" spans="2:23" x14ac:dyDescent="0.25">
      <c r="B88" s="1">
        <v>30224</v>
      </c>
      <c r="C88" s="2">
        <f>'Treas Data'!D87</f>
        <v>1142034000000</v>
      </c>
      <c r="E88" t="s">
        <v>118</v>
      </c>
      <c r="G88" s="12">
        <v>30224</v>
      </c>
      <c r="H88" s="13">
        <f>'FRED Data'!I17</f>
        <v>3384.4414999999999</v>
      </c>
      <c r="I88" s="30">
        <f t="shared" si="0"/>
        <v>0.3374364721623937</v>
      </c>
      <c r="J88" s="31">
        <f>'OMB 2008'!J54/100</f>
        <v>0.35200000000000004</v>
      </c>
      <c r="K88" s="68">
        <f>0.9*K87</f>
        <v>0.9</v>
      </c>
      <c r="L88" s="20">
        <f>M88/H88+K88*(J88-I88)</f>
        <v>0.30794311770494487</v>
      </c>
      <c r="M88" s="21">
        <f>M87</f>
        <v>997.85500000000002</v>
      </c>
      <c r="N88" s="21">
        <f>(C88/1000000000)-M88</f>
        <v>144.17900000000009</v>
      </c>
      <c r="O88" s="22" t="s">
        <v>17</v>
      </c>
      <c r="V88" s="44">
        <f t="shared" si="2"/>
        <v>1</v>
      </c>
      <c r="W88" s="44">
        <f t="shared" si="3"/>
        <v>36</v>
      </c>
    </row>
    <row r="89" spans="2:23" x14ac:dyDescent="0.25">
      <c r="B89" s="1">
        <v>30589</v>
      </c>
      <c r="C89" s="2">
        <f>'Treas Data'!D88</f>
        <v>1377210000000</v>
      </c>
      <c r="E89" t="s">
        <v>115</v>
      </c>
      <c r="G89" s="12">
        <v>30589</v>
      </c>
      <c r="H89" s="13">
        <f>'FRED Data'!I18</f>
        <v>3741.9425000000001</v>
      </c>
      <c r="I89" s="30">
        <f t="shared" si="0"/>
        <v>0.36804680991223143</v>
      </c>
      <c r="J89" s="31">
        <f>'OMB 2008'!J55/100</f>
        <v>0.39899999999999997</v>
      </c>
      <c r="K89" s="68">
        <f t="shared" ref="K89:K112" si="5">0.9*K88</f>
        <v>0.81</v>
      </c>
      <c r="L89" s="20">
        <f t="shared" ref="L89:L112" si="6">M89/H89+K89*(J89-I89)</f>
        <v>0.29173973052097935</v>
      </c>
      <c r="M89" s="21">
        <f t="shared" ref="M89:M98" si="7">M88</f>
        <v>997.85500000000002</v>
      </c>
      <c r="N89" s="21">
        <f t="shared" si="4"/>
        <v>379.35500000000002</v>
      </c>
      <c r="O89" s="22" t="s">
        <v>17</v>
      </c>
      <c r="V89" s="44">
        <f t="shared" si="2"/>
        <v>1</v>
      </c>
    </row>
    <row r="90" spans="2:23" x14ac:dyDescent="0.25">
      <c r="B90" s="1">
        <v>30955</v>
      </c>
      <c r="C90" s="2">
        <f>'Treas Data'!D89</f>
        <v>1572266000000</v>
      </c>
      <c r="E90" t="s">
        <v>116</v>
      </c>
      <c r="G90" s="12">
        <v>30955</v>
      </c>
      <c r="H90" s="13">
        <f>'FRED Data'!I19</f>
        <v>4116.4004999999997</v>
      </c>
      <c r="I90" s="30">
        <f t="shared" si="0"/>
        <v>0.38195165897973243</v>
      </c>
      <c r="J90" s="31">
        <f>'OMB 2008'!J56/100</f>
        <v>0.40700000000000003</v>
      </c>
      <c r="K90" s="68">
        <f t="shared" si="5"/>
        <v>0.72900000000000009</v>
      </c>
      <c r="L90" s="20">
        <f t="shared" si="6"/>
        <v>0.26066984093299478</v>
      </c>
      <c r="M90" s="21">
        <f t="shared" si="7"/>
        <v>997.85500000000002</v>
      </c>
      <c r="N90" s="21">
        <f t="shared" si="4"/>
        <v>574.41100000000006</v>
      </c>
      <c r="O90" s="22" t="s">
        <v>17</v>
      </c>
      <c r="V90" s="44">
        <f t="shared" si="2"/>
        <v>1</v>
      </c>
    </row>
    <row r="91" spans="2:23" x14ac:dyDescent="0.25">
      <c r="B91" s="1">
        <v>31320</v>
      </c>
      <c r="C91" s="2">
        <f>'Treas Data'!D90</f>
        <v>1823103000000</v>
      </c>
      <c r="E91" t="s">
        <v>117</v>
      </c>
      <c r="G91" s="12">
        <v>31320</v>
      </c>
      <c r="H91" s="13">
        <f>'FRED Data'!I20</f>
        <v>4415.4335000000001</v>
      </c>
      <c r="I91" s="30">
        <f t="shared" si="0"/>
        <v>0.41289332066715534</v>
      </c>
      <c r="J91" s="31">
        <f>'OMB 2008'!J57/100</f>
        <v>0.439</v>
      </c>
      <c r="K91" s="68">
        <f t="shared" si="5"/>
        <v>0.65610000000000013</v>
      </c>
      <c r="L91" s="20">
        <f t="shared" si="6"/>
        <v>0.24312112509330058</v>
      </c>
      <c r="M91" s="21">
        <f t="shared" si="7"/>
        <v>997.85500000000002</v>
      </c>
      <c r="N91" s="21">
        <f t="shared" si="4"/>
        <v>825.24800000000005</v>
      </c>
      <c r="O91" s="22" t="s">
        <v>17</v>
      </c>
      <c r="V91" s="44">
        <f t="shared" si="2"/>
        <v>1</v>
      </c>
    </row>
    <row r="92" spans="2:23" x14ac:dyDescent="0.25">
      <c r="B92" s="1">
        <v>31685</v>
      </c>
      <c r="C92" s="2">
        <f>'Treas Data'!D91</f>
        <v>2125302616658.4199</v>
      </c>
      <c r="E92" s="6" t="s">
        <v>2</v>
      </c>
      <c r="F92" t="s">
        <v>108</v>
      </c>
      <c r="G92" s="12">
        <v>31685</v>
      </c>
      <c r="H92" s="13">
        <f>'FRED Data'!I21</f>
        <v>4632.6480000000001</v>
      </c>
      <c r="I92" s="30">
        <f t="shared" si="0"/>
        <v>0.45876626427443223</v>
      </c>
      <c r="J92" s="31">
        <f>'OMB 2008'!J58/100</f>
        <v>0.48100000000000004</v>
      </c>
      <c r="K92" s="68">
        <f t="shared" si="5"/>
        <v>0.59049000000000018</v>
      </c>
      <c r="L92" s="20">
        <f t="shared" si="6"/>
        <v>0.2285250471472233</v>
      </c>
      <c r="M92" s="21">
        <f t="shared" si="7"/>
        <v>997.85500000000002</v>
      </c>
      <c r="N92" s="21">
        <f t="shared" si="4"/>
        <v>1127.44761665842</v>
      </c>
      <c r="O92" s="22" t="s">
        <v>17</v>
      </c>
      <c r="V92" s="44">
        <f t="shared" si="2"/>
        <v>1</v>
      </c>
    </row>
    <row r="93" spans="2:23" x14ac:dyDescent="0.25">
      <c r="B93" s="1">
        <v>32050</v>
      </c>
      <c r="C93" s="2">
        <f>'Treas Data'!D92</f>
        <v>2350276890953</v>
      </c>
      <c r="D93" s="3" t="s">
        <v>4</v>
      </c>
      <c r="E93" s="8" t="s">
        <v>5</v>
      </c>
      <c r="F93" s="9" t="s">
        <v>6</v>
      </c>
      <c r="G93" s="12">
        <v>32050</v>
      </c>
      <c r="H93" s="13">
        <f>'FRED Data'!I22</f>
        <v>4946.2744999999995</v>
      </c>
      <c r="I93" s="30">
        <f t="shared" si="0"/>
        <v>0.47516103098463297</v>
      </c>
      <c r="J93" s="31">
        <f>'OMB 2008'!J59/100</f>
        <v>0.505</v>
      </c>
      <c r="K93" s="68">
        <f t="shared" si="5"/>
        <v>0.53144100000000016</v>
      </c>
      <c r="L93" s="20">
        <f t="shared" si="6"/>
        <v>0.21759635406507857</v>
      </c>
      <c r="M93" s="21">
        <f t="shared" si="7"/>
        <v>997.85500000000002</v>
      </c>
      <c r="N93" s="21">
        <f t="shared" si="4"/>
        <v>1352.421890953</v>
      </c>
      <c r="O93" s="22" t="s">
        <v>17</v>
      </c>
      <c r="V93" s="44">
        <f t="shared" si="2"/>
        <v>1</v>
      </c>
    </row>
    <row r="94" spans="2:23" x14ac:dyDescent="0.25">
      <c r="B94" s="1">
        <v>32416</v>
      </c>
      <c r="C94" s="2">
        <f>'Treas Data'!D93</f>
        <v>2602337712041.1602</v>
      </c>
      <c r="D94" s="5">
        <v>1988</v>
      </c>
      <c r="E94" s="2">
        <v>214145028847.73001</v>
      </c>
      <c r="F94" s="10">
        <f>E94/((C94+C93)/2)</f>
        <v>8.6477566301349659E-2</v>
      </c>
      <c r="G94" s="12">
        <v>32416</v>
      </c>
      <c r="H94" s="13">
        <f>'FRED Data'!I23</f>
        <v>5341.1720000000005</v>
      </c>
      <c r="I94" s="30">
        <f t="shared" si="0"/>
        <v>0.48722222614084704</v>
      </c>
      <c r="J94" s="31">
        <f>'OMB 2008'!J60/100</f>
        <v>0.51900000000000002</v>
      </c>
      <c r="K94" s="68">
        <f t="shared" si="5"/>
        <v>0.47829690000000014</v>
      </c>
      <c r="L94" s="20">
        <f t="shared" si="6"/>
        <v>0.20202243978482429</v>
      </c>
      <c r="M94" s="21">
        <f t="shared" si="7"/>
        <v>997.85500000000002</v>
      </c>
      <c r="N94" s="21">
        <f t="shared" si="4"/>
        <v>1604.4827120411601</v>
      </c>
      <c r="O94" s="22" t="s">
        <v>17</v>
      </c>
      <c r="V94" s="44">
        <f t="shared" si="2"/>
        <v>1</v>
      </c>
    </row>
    <row r="95" spans="2:23" x14ac:dyDescent="0.25">
      <c r="B95" s="1">
        <v>32780</v>
      </c>
      <c r="C95" s="2">
        <f>'Treas Data'!D94</f>
        <v>2857430960187.3198</v>
      </c>
      <c r="D95" s="5">
        <v>1989</v>
      </c>
      <c r="E95" s="2">
        <v>240863231535.70999</v>
      </c>
      <c r="F95" s="10">
        <f t="shared" ref="F95:F122" si="8">E95/((C95+C94)/2)</f>
        <v>8.8232028130011714E-2</v>
      </c>
      <c r="G95" s="12">
        <v>32780</v>
      </c>
      <c r="H95" s="13">
        <f>'FRED Data'!I24</f>
        <v>5721.3009999999995</v>
      </c>
      <c r="I95" s="30">
        <f t="shared" si="0"/>
        <v>0.49943727138063881</v>
      </c>
      <c r="J95" s="31">
        <f>'OMB 2008'!J61/100</f>
        <v>0.53100000000000003</v>
      </c>
      <c r="K95" s="68">
        <f t="shared" si="5"/>
        <v>0.43046721000000016</v>
      </c>
      <c r="L95" s="20">
        <f t="shared" si="6"/>
        <v>0.18799722531132251</v>
      </c>
      <c r="M95" s="21">
        <f t="shared" si="7"/>
        <v>997.85500000000002</v>
      </c>
      <c r="N95" s="21">
        <f t="shared" si="4"/>
        <v>1859.5759601873197</v>
      </c>
      <c r="O95" s="22" t="s">
        <v>17</v>
      </c>
      <c r="P95" s="21">
        <f>N95</f>
        <v>1859.5759601873197</v>
      </c>
      <c r="V95" s="44">
        <f t="shared" si="2"/>
        <v>1</v>
      </c>
    </row>
    <row r="96" spans="2:23" x14ac:dyDescent="0.25">
      <c r="B96" s="1">
        <v>33144</v>
      </c>
      <c r="C96" s="2">
        <f>'Treas Data'!D95</f>
        <v>3233313451777.25</v>
      </c>
      <c r="D96" s="5">
        <v>1990</v>
      </c>
      <c r="E96" s="2">
        <v>264852544615.89999</v>
      </c>
      <c r="F96" s="10">
        <f t="shared" si="8"/>
        <v>8.6968858550566491E-2</v>
      </c>
      <c r="G96" s="12">
        <v>33144</v>
      </c>
      <c r="H96" s="13">
        <f>'FRED Data'!I25</f>
        <v>6009.9245000000001</v>
      </c>
      <c r="I96" s="30">
        <f t="shared" si="0"/>
        <v>0.53799568559925337</v>
      </c>
      <c r="J96" s="31">
        <f>'OMB 2008'!J62/100</f>
        <v>0.55899999999999994</v>
      </c>
      <c r="K96" s="68">
        <f t="shared" si="5"/>
        <v>0.38742048900000015</v>
      </c>
      <c r="L96" s="20">
        <f t="shared" si="6"/>
        <v>0.17417203347124605</v>
      </c>
      <c r="M96" s="21">
        <f t="shared" si="7"/>
        <v>997.85500000000002</v>
      </c>
      <c r="N96" s="21">
        <f t="shared" si="4"/>
        <v>2235.45845177725</v>
      </c>
      <c r="O96" s="22" t="s">
        <v>18</v>
      </c>
      <c r="V96" s="44">
        <f t="shared" si="2"/>
        <v>1</v>
      </c>
    </row>
    <row r="97" spans="2:22" x14ac:dyDescent="0.25">
      <c r="B97" s="1">
        <v>33511</v>
      </c>
      <c r="C97" s="2">
        <f>'Treas Data'!D96</f>
        <v>3665303351697.0298</v>
      </c>
      <c r="D97" s="5">
        <v>1991</v>
      </c>
      <c r="E97" s="2">
        <v>286021921181.03998</v>
      </c>
      <c r="F97" s="10">
        <f t="shared" si="8"/>
        <v>8.2921527410246554E-2</v>
      </c>
      <c r="G97" s="12">
        <v>33511</v>
      </c>
      <c r="H97" s="13">
        <f>'FRED Data'!I26</f>
        <v>6235.2384999999995</v>
      </c>
      <c r="I97" s="30">
        <f t="shared" si="0"/>
        <v>0.58783691300613927</v>
      </c>
      <c r="J97" s="31">
        <f>'OMB 2008'!J63/100</f>
        <v>0.60599999999999998</v>
      </c>
      <c r="K97" s="68">
        <f t="shared" si="5"/>
        <v>0.34867844010000015</v>
      </c>
      <c r="L97" s="20">
        <f t="shared" si="6"/>
        <v>0.16636785337703519</v>
      </c>
      <c r="M97" s="21">
        <f t="shared" si="7"/>
        <v>997.85500000000002</v>
      </c>
      <c r="N97" s="21">
        <f t="shared" si="4"/>
        <v>2667.4483516970299</v>
      </c>
      <c r="O97" s="22" t="s">
        <v>18</v>
      </c>
      <c r="V97" s="44">
        <f t="shared" si="2"/>
        <v>1</v>
      </c>
    </row>
    <row r="98" spans="2:22" x14ac:dyDescent="0.25">
      <c r="B98" s="1">
        <v>33877</v>
      </c>
      <c r="C98" s="2">
        <f>'Treas Data'!D97</f>
        <v>4064620655521.6602</v>
      </c>
      <c r="D98" s="5">
        <v>1992</v>
      </c>
      <c r="E98" s="2">
        <v>292361073070.73999</v>
      </c>
      <c r="F98" s="10">
        <f t="shared" si="8"/>
        <v>7.5643970832757174E-2</v>
      </c>
      <c r="G98" s="12">
        <v>33877</v>
      </c>
      <c r="H98" s="13">
        <f>'FRED Data'!I27</f>
        <v>6623.7219999999998</v>
      </c>
      <c r="I98" s="30">
        <f t="shared" si="0"/>
        <v>0.613646021907571</v>
      </c>
      <c r="J98" s="31">
        <f>'OMB 2008'!J64/100</f>
        <v>0.6409999999999999</v>
      </c>
      <c r="K98" s="68">
        <f t="shared" si="5"/>
        <v>0.31381059609000017</v>
      </c>
      <c r="L98" s="20">
        <f t="shared" si="6"/>
        <v>0.15923265179592708</v>
      </c>
      <c r="M98" s="21">
        <f t="shared" si="7"/>
        <v>997.85500000000002</v>
      </c>
      <c r="N98" s="21">
        <f t="shared" si="4"/>
        <v>3066.7656555216599</v>
      </c>
      <c r="O98" s="22" t="s">
        <v>18</v>
      </c>
      <c r="V98" s="44">
        <f t="shared" si="2"/>
        <v>1</v>
      </c>
    </row>
    <row r="99" spans="2:22" x14ac:dyDescent="0.25">
      <c r="B99" s="1">
        <v>34242</v>
      </c>
      <c r="C99" s="2">
        <f>'Treas Data'!D98</f>
        <v>4411488883139.3799</v>
      </c>
      <c r="D99" s="5">
        <v>1993</v>
      </c>
      <c r="E99" s="2">
        <v>292502219484.25</v>
      </c>
      <c r="F99" s="10">
        <f t="shared" si="8"/>
        <v>6.901803667120994E-2</v>
      </c>
      <c r="G99" s="12">
        <v>34242</v>
      </c>
      <c r="H99" s="13">
        <f>'FRED Data'!I28</f>
        <v>6947.9179999999997</v>
      </c>
      <c r="I99" s="30">
        <f t="shared" si="0"/>
        <v>0.63493680885977355</v>
      </c>
      <c r="J99" s="31">
        <f>'OMB 2008'!J65/100</f>
        <v>0.66200000000000003</v>
      </c>
      <c r="K99" s="68">
        <f t="shared" si="5"/>
        <v>0.28242953648100017</v>
      </c>
      <c r="L99" s="20">
        <f t="shared" si="6"/>
        <v>0.15126272731313675</v>
      </c>
      <c r="M99" s="21">
        <f t="shared" ref="M99" si="9">M98</f>
        <v>997.85500000000002</v>
      </c>
      <c r="N99" s="21">
        <f>(C99/1000000000)-M99</f>
        <v>3413.63388313938</v>
      </c>
      <c r="O99" s="22" t="s">
        <v>18</v>
      </c>
      <c r="P99" s="21">
        <f>N99-N95</f>
        <v>1554.0579229520604</v>
      </c>
      <c r="V99" s="44">
        <f t="shared" si="2"/>
        <v>1</v>
      </c>
    </row>
    <row r="100" spans="2:22" x14ac:dyDescent="0.25">
      <c r="B100" s="1">
        <v>34607</v>
      </c>
      <c r="C100" s="2">
        <f>'Treas Data'!D99</f>
        <v>4692749910013.3203</v>
      </c>
      <c r="D100" s="5">
        <v>1994</v>
      </c>
      <c r="E100" s="2">
        <v>296277764246.26001</v>
      </c>
      <c r="F100" s="10">
        <f t="shared" si="8"/>
        <v>6.5085675140483051E-2</v>
      </c>
      <c r="G100" s="12">
        <v>34607</v>
      </c>
      <c r="H100" s="13">
        <f>'FRED Data'!I29</f>
        <v>7393.1814999999997</v>
      </c>
      <c r="I100" s="30">
        <f t="shared" ref="I100:I119" si="10">C100/(H100*1000000000)</f>
        <v>0.63474025492453012</v>
      </c>
      <c r="J100" s="31">
        <f>'OMB 2008'!J66/100</f>
        <v>0.66700000000000004</v>
      </c>
      <c r="K100" s="68">
        <f t="shared" si="5"/>
        <v>0.25418658283290013</v>
      </c>
      <c r="L100" s="20">
        <f t="shared" si="6"/>
        <v>0.15116109452174162</v>
      </c>
      <c r="M100" s="21">
        <f>(C100/1000000000)-N100</f>
        <v>1056.9373609073841</v>
      </c>
      <c r="N100" s="21">
        <f t="shared" ref="N100:N107" si="11">(1+F100)*N99</f>
        <v>3635.8125491059359</v>
      </c>
      <c r="O100" s="22" t="s">
        <v>5</v>
      </c>
      <c r="V100" s="44">
        <f t="shared" si="2"/>
        <v>1</v>
      </c>
    </row>
    <row r="101" spans="2:22" x14ac:dyDescent="0.25">
      <c r="B101" s="1">
        <v>34971</v>
      </c>
      <c r="C101" s="2">
        <f>'Treas Data'!D100</f>
        <v>4973982900709.3896</v>
      </c>
      <c r="D101" s="5">
        <v>1995</v>
      </c>
      <c r="E101" s="2">
        <v>332413555030.62</v>
      </c>
      <c r="F101" s="10">
        <f t="shared" si="8"/>
        <v>6.8774747691773191E-2</v>
      </c>
      <c r="G101" s="12">
        <v>34971</v>
      </c>
      <c r="H101" s="13">
        <f>'FRED Data'!I30</f>
        <v>7727.8554999999997</v>
      </c>
      <c r="I101" s="30">
        <f t="shared" si="10"/>
        <v>0.64364336272972367</v>
      </c>
      <c r="J101" s="31">
        <f>'OMB 2008'!J67/100</f>
        <v>0.67200000000000004</v>
      </c>
      <c r="K101" s="68">
        <f t="shared" si="5"/>
        <v>0.22876792454961012</v>
      </c>
      <c r="L101" s="20">
        <f t="shared" si="6"/>
        <v>0.14729177424718359</v>
      </c>
      <c r="M101" s="21">
        <f t="shared" ref="M101:M107" si="12">(C101/1000000000)-N101</f>
        <v>1088.11826088411</v>
      </c>
      <c r="N101" s="21">
        <f t="shared" si="11"/>
        <v>3885.8646398252795</v>
      </c>
      <c r="O101" s="22" t="s">
        <v>5</v>
      </c>
      <c r="V101" s="44">
        <f t="shared" si="2"/>
        <v>1</v>
      </c>
    </row>
    <row r="102" spans="2:22" x14ac:dyDescent="0.25">
      <c r="B102" s="1">
        <v>35338</v>
      </c>
      <c r="C102" s="2">
        <f>'Treas Data'!D101</f>
        <v>5224810939135.7305</v>
      </c>
      <c r="D102" s="5">
        <v>1996</v>
      </c>
      <c r="E102" s="2">
        <v>343955076695.15002</v>
      </c>
      <c r="F102" s="10">
        <f t="shared" si="8"/>
        <v>6.7450147948156458E-2</v>
      </c>
      <c r="G102" s="12">
        <v>35338</v>
      </c>
      <c r="H102" s="13">
        <f>'FRED Data'!I31</f>
        <v>8195.5895</v>
      </c>
      <c r="I102" s="30">
        <f t="shared" si="10"/>
        <v>0.63751496327820356</v>
      </c>
      <c r="J102" s="31">
        <f>'OMB 2008'!J68/100</f>
        <v>0.67299999999999993</v>
      </c>
      <c r="K102" s="68">
        <f t="shared" si="5"/>
        <v>0.2058911320946491</v>
      </c>
      <c r="L102" s="20">
        <f t="shared" si="6"/>
        <v>0.13869918412044074</v>
      </c>
      <c r="M102" s="21">
        <f t="shared" si="12"/>
        <v>1076.8441544477264</v>
      </c>
      <c r="N102" s="21">
        <f t="shared" si="11"/>
        <v>4147.9667846880038</v>
      </c>
      <c r="O102" s="22" t="s">
        <v>5</v>
      </c>
      <c r="V102" s="44">
        <f t="shared" si="2"/>
        <v>1</v>
      </c>
    </row>
    <row r="103" spans="2:22" x14ac:dyDescent="0.25">
      <c r="B103" s="1">
        <v>35703</v>
      </c>
      <c r="C103" s="2">
        <f>'Treas Data'!D102</f>
        <v>5413146011397.3398</v>
      </c>
      <c r="D103" s="5">
        <v>1997</v>
      </c>
      <c r="E103" s="2">
        <v>355795834214.65997</v>
      </c>
      <c r="F103" s="10">
        <f t="shared" si="8"/>
        <v>6.689176048918509E-2</v>
      </c>
      <c r="G103" s="12">
        <v>35703</v>
      </c>
      <c r="H103" s="13">
        <f>'FRED Data'!I32</f>
        <v>8714.3649999999998</v>
      </c>
      <c r="I103" s="30">
        <f t="shared" si="10"/>
        <v>0.62117503815795416</v>
      </c>
      <c r="J103" s="31">
        <f>'OMB 2008'!J69/100</f>
        <v>0.65599999999999992</v>
      </c>
      <c r="K103" s="68">
        <f t="shared" si="5"/>
        <v>0.18530201888518419</v>
      </c>
      <c r="L103" s="20">
        <f t="shared" si="6"/>
        <v>0.11979638289617758</v>
      </c>
      <c r="M103" s="21">
        <f t="shared" si="12"/>
        <v>987.71442603089145</v>
      </c>
      <c r="N103" s="21">
        <f t="shared" si="11"/>
        <v>4425.4315853664484</v>
      </c>
      <c r="O103" s="22" t="s">
        <v>5</v>
      </c>
      <c r="V103" s="44">
        <f t="shared" si="2"/>
        <v>0</v>
      </c>
    </row>
    <row r="104" spans="2:22" x14ac:dyDescent="0.25">
      <c r="B104" s="1">
        <v>36068</v>
      </c>
      <c r="C104" s="2">
        <f>'Treas Data'!D103</f>
        <v>5526193008897.6201</v>
      </c>
      <c r="D104" s="5">
        <v>1998</v>
      </c>
      <c r="E104" s="2">
        <v>363823722920.26001</v>
      </c>
      <c r="F104" s="10">
        <f t="shared" si="8"/>
        <v>6.6516582445298442E-2</v>
      </c>
      <c r="G104" s="12">
        <v>36068</v>
      </c>
      <c r="H104" s="13">
        <f>'FRED Data'!I33</f>
        <v>9207.5439999999999</v>
      </c>
      <c r="I104" s="30">
        <f t="shared" si="10"/>
        <v>0.60018100471717761</v>
      </c>
      <c r="J104" s="31">
        <f>'OMB 2008'!J70/100</f>
        <v>0.63500000000000001</v>
      </c>
      <c r="K104" s="68">
        <f t="shared" si="5"/>
        <v>0.16677181699666577</v>
      </c>
      <c r="L104" s="20">
        <f t="shared" si="6"/>
        <v>9.3386841782838556E-2</v>
      </c>
      <c r="M104" s="21">
        <f t="shared" si="12"/>
        <v>806.39683862711718</v>
      </c>
      <c r="N104" s="21">
        <f t="shared" si="11"/>
        <v>4719.7961702705034</v>
      </c>
      <c r="O104" s="22" t="s">
        <v>5</v>
      </c>
      <c r="V104" s="44">
        <f t="shared" si="2"/>
        <v>0</v>
      </c>
    </row>
    <row r="105" spans="2:22" x14ac:dyDescent="0.25">
      <c r="B105" s="1">
        <v>36433</v>
      </c>
      <c r="C105" s="2">
        <f>'Treas Data'!D104</f>
        <v>5656270901615.4297</v>
      </c>
      <c r="D105" s="5">
        <v>1999</v>
      </c>
      <c r="E105" s="2">
        <v>353511471722.87</v>
      </c>
      <c r="F105" s="10">
        <f t="shared" si="8"/>
        <v>6.3226042945780617E-2</v>
      </c>
      <c r="G105" s="12">
        <v>36433</v>
      </c>
      <c r="H105" s="13">
        <f>'FRED Data'!I34</f>
        <v>9790.6170000000002</v>
      </c>
      <c r="I105" s="30">
        <f t="shared" si="10"/>
        <v>0.57772364107547358</v>
      </c>
      <c r="J105" s="31">
        <f>'OMB 2008'!J71/100</f>
        <v>0.61399999999999999</v>
      </c>
      <c r="K105" s="68">
        <f t="shared" si="5"/>
        <v>0.15009463529699921</v>
      </c>
      <c r="L105" s="20">
        <f t="shared" si="6"/>
        <v>7.0615518702130953E-2</v>
      </c>
      <c r="M105" s="21">
        <f t="shared" si="12"/>
        <v>638.06069598807153</v>
      </c>
      <c r="N105" s="21">
        <f t="shared" si="11"/>
        <v>5018.2102056273579</v>
      </c>
      <c r="O105" s="22" t="s">
        <v>5</v>
      </c>
      <c r="Q105" s="25">
        <f>P95/(P95+P99)</f>
        <v>0.5447496784503274</v>
      </c>
      <c r="R105" s="25">
        <f>P99/(P95+P99)</f>
        <v>0.45525032154967265</v>
      </c>
      <c r="V105" s="44">
        <f t="shared" si="2"/>
        <v>0</v>
      </c>
    </row>
    <row r="106" spans="2:22" x14ac:dyDescent="0.25">
      <c r="B106" s="1">
        <v>36799</v>
      </c>
      <c r="C106" s="2">
        <f>'Treas Data'!D105</f>
        <v>5674178209886.8604</v>
      </c>
      <c r="D106" s="5">
        <v>2000</v>
      </c>
      <c r="E106" s="2">
        <v>361997734302.35999</v>
      </c>
      <c r="F106" s="10">
        <f t="shared" si="8"/>
        <v>6.3898214579132986E-2</v>
      </c>
      <c r="G106" s="12">
        <v>36799</v>
      </c>
      <c r="H106" s="13">
        <f>'FRED Data'!I35</f>
        <v>10379.424999999999</v>
      </c>
      <c r="I106" s="30">
        <f t="shared" si="10"/>
        <v>0.54667558269238037</v>
      </c>
      <c r="J106" s="31">
        <f>'OMB 2008'!J72/100</f>
        <v>0.57999999999999996</v>
      </c>
      <c r="K106" s="68">
        <f t="shared" si="5"/>
        <v>0.13508517176729928</v>
      </c>
      <c r="L106" s="20">
        <f t="shared" si="6"/>
        <v>3.6807213387963403E-2</v>
      </c>
      <c r="M106" s="21">
        <f t="shared" si="12"/>
        <v>335.31333173713119</v>
      </c>
      <c r="N106" s="21">
        <f t="shared" si="11"/>
        <v>5338.8648781497295</v>
      </c>
      <c r="O106" s="22" t="s">
        <v>5</v>
      </c>
      <c r="Q106" s="22" t="s">
        <v>17</v>
      </c>
      <c r="R106" s="22" t="s">
        <v>25</v>
      </c>
      <c r="V106" s="44">
        <f t="shared" si="2"/>
        <v>0</v>
      </c>
    </row>
    <row r="107" spans="2:22" x14ac:dyDescent="0.25">
      <c r="B107" s="1">
        <v>37164</v>
      </c>
      <c r="C107" s="2">
        <f>'Treas Data'!D106</f>
        <v>5807463412200.0596</v>
      </c>
      <c r="D107" s="5">
        <v>2001</v>
      </c>
      <c r="E107" s="2">
        <v>359507635242.40997</v>
      </c>
      <c r="F107" s="10">
        <f t="shared" si="8"/>
        <v>6.2623037205905285E-2</v>
      </c>
      <c r="G107" s="12">
        <v>37164</v>
      </c>
      <c r="H107" s="13">
        <f>'FRED Data'!I36</f>
        <v>10628.294</v>
      </c>
      <c r="I107" s="30">
        <f t="shared" si="10"/>
        <v>0.54641539010870976</v>
      </c>
      <c r="J107" s="31">
        <f>'OMB 2008'!J73/100</f>
        <v>0.57399999999999995</v>
      </c>
      <c r="K107" s="68">
        <f t="shared" si="5"/>
        <v>0.12157665459056936</v>
      </c>
      <c r="L107" s="20">
        <f t="shared" si="6"/>
        <v>1.5986208210800781E-2</v>
      </c>
      <c r="M107" s="21">
        <f t="shared" si="12"/>
        <v>134.26260014865875</v>
      </c>
      <c r="N107" s="21">
        <f t="shared" si="11"/>
        <v>5673.200812051401</v>
      </c>
      <c r="O107" s="22" t="s">
        <v>5</v>
      </c>
      <c r="P107" s="21">
        <f>N107-N99</f>
        <v>2259.566928912021</v>
      </c>
      <c r="Q107" s="21">
        <f>Q105*P107</f>
        <v>1230.8983579618173</v>
      </c>
      <c r="R107" s="21">
        <f>R105*P107</f>
        <v>1028.668570950204</v>
      </c>
      <c r="V107" s="44">
        <f t="shared" si="2"/>
        <v>0</v>
      </c>
    </row>
    <row r="108" spans="2:22" x14ac:dyDescent="0.25">
      <c r="B108" s="1">
        <v>37529</v>
      </c>
      <c r="C108" s="2">
        <f>'Treas Data'!D107</f>
        <v>6228235965597.1602</v>
      </c>
      <c r="D108" s="5">
        <v>2002</v>
      </c>
      <c r="E108" s="2">
        <v>332536958599.41998</v>
      </c>
      <c r="F108" s="10">
        <f t="shared" si="8"/>
        <v>5.5258435452926892E-2</v>
      </c>
      <c r="G108" s="12">
        <v>37529</v>
      </c>
      <c r="H108" s="13">
        <f>'FRED Data'!I37</f>
        <v>11031.757</v>
      </c>
      <c r="I108" s="30">
        <f t="shared" si="10"/>
        <v>0.56457334634883272</v>
      </c>
      <c r="J108" s="31">
        <f>'OMB 2008'!J74/100</f>
        <v>0.59699999999999998</v>
      </c>
      <c r="K108" s="68">
        <f t="shared" si="5"/>
        <v>0.10941898913151243</v>
      </c>
      <c r="L108" s="20">
        <f t="shared" si="6"/>
        <v>1.5718646195100792E-2</v>
      </c>
      <c r="M108" s="21">
        <f>M107</f>
        <v>134.26260014865875</v>
      </c>
      <c r="N108" s="21">
        <f t="shared" ref="N108:N115" si="13">(C108/1000000000)-M108</f>
        <v>6093.9733654485017</v>
      </c>
      <c r="O108" s="22" t="s">
        <v>23</v>
      </c>
      <c r="Q108" s="21">
        <f>P95+Q107</f>
        <v>3090.4743181491367</v>
      </c>
      <c r="R108" s="21">
        <f>P99+R107</f>
        <v>2582.7264939022643</v>
      </c>
      <c r="V108" s="44">
        <f t="shared" si="2"/>
        <v>1</v>
      </c>
    </row>
    <row r="109" spans="2:22" x14ac:dyDescent="0.25">
      <c r="B109" s="1">
        <v>37894</v>
      </c>
      <c r="C109" s="2">
        <f>'Treas Data'!D108</f>
        <v>6783231062743.6201</v>
      </c>
      <c r="D109" s="5">
        <v>2003</v>
      </c>
      <c r="E109" s="2">
        <v>318148529151.51001</v>
      </c>
      <c r="F109" s="10">
        <f t="shared" si="8"/>
        <v>4.8902791431364098E-2</v>
      </c>
      <c r="G109" s="12">
        <v>37894</v>
      </c>
      <c r="H109" s="13">
        <f>'FRED Data'!I38</f>
        <v>11668.300499999999</v>
      </c>
      <c r="I109" s="30">
        <f t="shared" si="10"/>
        <v>0.58133839308848967</v>
      </c>
      <c r="J109" s="31">
        <f>'OMB 2008'!J75/100</f>
        <v>0.625</v>
      </c>
      <c r="K109" s="68">
        <f t="shared" si="5"/>
        <v>9.8477090218361193E-2</v>
      </c>
      <c r="L109" s="20">
        <f t="shared" si="6"/>
        <v>1.5806279454044812E-2</v>
      </c>
      <c r="M109" s="21">
        <f t="shared" ref="M109:M115" si="14">M108</f>
        <v>134.26260014865875</v>
      </c>
      <c r="N109" s="21">
        <f t="shared" si="13"/>
        <v>6648.9684625949612</v>
      </c>
      <c r="O109" s="22" t="s">
        <v>23</v>
      </c>
      <c r="V109" s="44">
        <f t="shared" si="2"/>
        <v>1</v>
      </c>
    </row>
    <row r="110" spans="2:22" x14ac:dyDescent="0.25">
      <c r="B110" s="1">
        <v>38260</v>
      </c>
      <c r="C110" s="2">
        <f>'Treas Data'!D109</f>
        <v>7379052696330.3203</v>
      </c>
      <c r="D110" s="5">
        <v>2004</v>
      </c>
      <c r="E110" s="2">
        <v>321566323971.28998</v>
      </c>
      <c r="F110" s="10">
        <f t="shared" si="8"/>
        <v>4.541164821178769E-2</v>
      </c>
      <c r="G110" s="12">
        <v>38260</v>
      </c>
      <c r="H110" s="13">
        <f>'FRED Data'!I39</f>
        <v>12412.8825</v>
      </c>
      <c r="I110" s="30">
        <f t="shared" si="10"/>
        <v>0.59446729607972371</v>
      </c>
      <c r="J110" s="31">
        <f>'OMB 2008'!J76/100</f>
        <v>0.63900000000000001</v>
      </c>
      <c r="K110" s="68">
        <f t="shared" si="5"/>
        <v>8.8629381196525081E-2</v>
      </c>
      <c r="L110" s="20">
        <f t="shared" si="6"/>
        <v>1.4763297764175605E-2</v>
      </c>
      <c r="M110" s="21">
        <f t="shared" si="14"/>
        <v>134.26260014865875</v>
      </c>
      <c r="N110" s="21">
        <f t="shared" si="13"/>
        <v>7244.7900961816613</v>
      </c>
      <c r="O110" s="22" t="s">
        <v>23</v>
      </c>
      <c r="V110" s="44">
        <f t="shared" si="2"/>
        <v>1</v>
      </c>
    </row>
    <row r="111" spans="2:22" x14ac:dyDescent="0.25">
      <c r="B111" s="1">
        <v>38625</v>
      </c>
      <c r="C111" s="2">
        <f>'Treas Data'!D110</f>
        <v>7932709661723.5</v>
      </c>
      <c r="D111" s="5">
        <v>2005</v>
      </c>
      <c r="E111" s="2">
        <v>352350252507.90002</v>
      </c>
      <c r="F111" s="10">
        <f t="shared" si="8"/>
        <v>4.6023474537869591E-2</v>
      </c>
      <c r="G111" s="12">
        <v>38625</v>
      </c>
      <c r="H111" s="13">
        <f>'FRED Data'!I40</f>
        <v>13237.594499999999</v>
      </c>
      <c r="I111" s="30">
        <f t="shared" si="10"/>
        <v>0.59925613084186102</v>
      </c>
      <c r="J111" s="31">
        <f>'OMB 2008'!J77/100</f>
        <v>0.64400000000000002</v>
      </c>
      <c r="K111" s="68">
        <f t="shared" si="5"/>
        <v>7.976644307687257E-2</v>
      </c>
      <c r="L111" s="20">
        <f t="shared" si="6"/>
        <v>1.3711581798778604E-2</v>
      </c>
      <c r="M111" s="21">
        <f t="shared" si="14"/>
        <v>134.26260014865875</v>
      </c>
      <c r="N111" s="21">
        <f t="shared" si="13"/>
        <v>7798.4470615748414</v>
      </c>
      <c r="O111" s="22" t="s">
        <v>23</v>
      </c>
      <c r="V111" s="44">
        <f t="shared" si="2"/>
        <v>1</v>
      </c>
    </row>
    <row r="112" spans="2:22" x14ac:dyDescent="0.25">
      <c r="B112" s="1">
        <v>38990</v>
      </c>
      <c r="C112" s="2">
        <f>'Treas Data'!D111</f>
        <v>8506973899215.2305</v>
      </c>
      <c r="D112" s="5">
        <v>2006</v>
      </c>
      <c r="E112" s="2">
        <v>405872109315.83002</v>
      </c>
      <c r="F112" s="10">
        <f t="shared" si="8"/>
        <v>4.9377119433149735E-2</v>
      </c>
      <c r="G112" s="12">
        <v>38990</v>
      </c>
      <c r="H112" s="13">
        <f>'FRED Data'!I41</f>
        <v>13952.3485</v>
      </c>
      <c r="I112" s="30">
        <f t="shared" si="10"/>
        <v>0.60971627100736703</v>
      </c>
      <c r="J112" s="31">
        <f>'OMB 2008'!J78/100</f>
        <v>0.64700000000000002</v>
      </c>
      <c r="K112" s="68">
        <f t="shared" si="5"/>
        <v>7.1789798769185315E-2</v>
      </c>
      <c r="L112" s="20">
        <f t="shared" si="6"/>
        <v>1.2299530518315387E-2</v>
      </c>
      <c r="M112" s="21">
        <f t="shared" si="14"/>
        <v>134.26260014865875</v>
      </c>
      <c r="N112" s="21">
        <f t="shared" si="13"/>
        <v>8372.7112990665719</v>
      </c>
      <c r="O112" s="22" t="s">
        <v>23</v>
      </c>
      <c r="V112" s="44">
        <f t="shared" si="2"/>
        <v>1</v>
      </c>
    </row>
    <row r="113" spans="1:22" x14ac:dyDescent="0.25">
      <c r="B113" s="1">
        <v>39355</v>
      </c>
      <c r="C113" s="2">
        <f>'Treas Data'!D112</f>
        <v>9007653372262.4805</v>
      </c>
      <c r="D113" s="5">
        <v>2007</v>
      </c>
      <c r="E113" s="2">
        <v>429977998108.20001</v>
      </c>
      <c r="F113" s="10">
        <f t="shared" si="8"/>
        <v>4.909930327874145E-2</v>
      </c>
      <c r="G113" s="12">
        <v>39355</v>
      </c>
      <c r="H113" s="13">
        <f>'FRED Data'!I42</f>
        <v>14608.252</v>
      </c>
      <c r="I113" s="30">
        <f t="shared" si="10"/>
        <v>0.616614046106439</v>
      </c>
      <c r="J113" s="20">
        <f>(J112+J114)/2</f>
        <v>0.66453816898173246</v>
      </c>
      <c r="K113" s="68"/>
      <c r="L113" s="20">
        <f t="shared" ref="L113:L122" si="15">M113/H113</f>
        <v>9.1908737711164038E-3</v>
      </c>
      <c r="M113" s="21">
        <f t="shared" si="14"/>
        <v>134.26260014865875</v>
      </c>
      <c r="N113" s="21">
        <f t="shared" si="13"/>
        <v>8873.3907721138221</v>
      </c>
      <c r="O113" s="22" t="s">
        <v>23</v>
      </c>
      <c r="V113" s="44">
        <f t="shared" si="2"/>
        <v>1</v>
      </c>
    </row>
    <row r="114" spans="1:22" x14ac:dyDescent="0.25">
      <c r="B114" s="1">
        <v>39721</v>
      </c>
      <c r="C114" s="2">
        <f>'Treas Data'!D113</f>
        <v>10024724896912.4</v>
      </c>
      <c r="D114" s="5">
        <v>2008</v>
      </c>
      <c r="E114" s="2">
        <v>451154049950.63</v>
      </c>
      <c r="F114" s="10">
        <f t="shared" si="8"/>
        <v>4.7409109210626153E-2</v>
      </c>
      <c r="G114" s="12">
        <v>39721</v>
      </c>
      <c r="H114" s="13">
        <f>'FRED Data'!I43</f>
        <v>14697.365</v>
      </c>
      <c r="I114" s="30">
        <f t="shared" si="10"/>
        <v>0.6820763379634649</v>
      </c>
      <c r="J114" s="20">
        <f>I114</f>
        <v>0.6820763379634649</v>
      </c>
      <c r="K114" s="68"/>
      <c r="L114" s="20">
        <f t="shared" si="15"/>
        <v>9.1351477049565512E-3</v>
      </c>
      <c r="M114" s="21">
        <f t="shared" si="14"/>
        <v>134.26260014865875</v>
      </c>
      <c r="N114" s="21">
        <f t="shared" si="13"/>
        <v>9890.4622967637424</v>
      </c>
      <c r="O114" s="22" t="s">
        <v>23</v>
      </c>
      <c r="P114" s="22" t="s">
        <v>23</v>
      </c>
      <c r="Q114" s="22" t="s">
        <v>17</v>
      </c>
      <c r="R114" s="22" t="s">
        <v>25</v>
      </c>
      <c r="S114" s="22" t="s">
        <v>26</v>
      </c>
      <c r="V114" s="44">
        <f t="shared" si="2"/>
        <v>1</v>
      </c>
    </row>
    <row r="115" spans="1:22" x14ac:dyDescent="0.25">
      <c r="B115" s="1">
        <v>40086</v>
      </c>
      <c r="C115" s="2">
        <f>'Treas Data'!D114</f>
        <v>11909829003511.699</v>
      </c>
      <c r="D115" s="5">
        <v>2009</v>
      </c>
      <c r="E115" s="2">
        <v>383071060815.41998</v>
      </c>
      <c r="F115" s="10">
        <f t="shared" si="8"/>
        <v>3.4928548130446671E-2</v>
      </c>
      <c r="G115" s="12">
        <v>40086</v>
      </c>
      <c r="H115" s="13">
        <f>'FRED Data'!I44</f>
        <v>14524.166499999999</v>
      </c>
      <c r="I115" s="30">
        <f t="shared" si="10"/>
        <v>0.82000085881084461</v>
      </c>
      <c r="J115" s="20">
        <f t="shared" ref="J115:J122" si="16">I115</f>
        <v>0.82000085881084461</v>
      </c>
      <c r="K115" s="68"/>
      <c r="L115" s="20">
        <f t="shared" si="15"/>
        <v>9.244082966734013E-3</v>
      </c>
      <c r="M115" s="21">
        <f t="shared" si="14"/>
        <v>134.26260014865875</v>
      </c>
      <c r="N115" s="21">
        <f t="shared" si="13"/>
        <v>11775.56640336304</v>
      </c>
      <c r="O115" s="22" t="s">
        <v>23</v>
      </c>
      <c r="P115" s="21">
        <f>N115-N107</f>
        <v>6102.365591311639</v>
      </c>
      <c r="Q115" s="21">
        <v>3090.4743181491367</v>
      </c>
      <c r="R115" s="21">
        <v>2582.7264939022643</v>
      </c>
      <c r="S115" s="21">
        <f>P115+Q115+R115</f>
        <v>11775.56640336304</v>
      </c>
      <c r="V115" s="44">
        <f t="shared" si="2"/>
        <v>1</v>
      </c>
    </row>
    <row r="116" spans="1:22" x14ac:dyDescent="0.25">
      <c r="B116" s="1">
        <v>40451</v>
      </c>
      <c r="C116" s="2">
        <f>'Treas Data'!D115</f>
        <v>13561623030891.699</v>
      </c>
      <c r="D116" s="5">
        <v>2010</v>
      </c>
      <c r="E116" s="2">
        <v>413954825362.16998</v>
      </c>
      <c r="F116" s="10">
        <f t="shared" si="8"/>
        <v>3.2503433632527563E-2</v>
      </c>
      <c r="G116" s="12">
        <v>40451</v>
      </c>
      <c r="H116" s="13">
        <f>'FRED Data'!I45</f>
        <v>15160.380000000001</v>
      </c>
      <c r="I116" s="30">
        <f t="shared" si="10"/>
        <v>0.89454374038722628</v>
      </c>
      <c r="J116" s="20">
        <f t="shared" si="16"/>
        <v>0.89454374038722628</v>
      </c>
      <c r="K116" s="68"/>
      <c r="L116" s="20">
        <f t="shared" si="15"/>
        <v>9.2564321372651984E-2</v>
      </c>
      <c r="M116" s="21">
        <f>(C116/1000000000)-N116</f>
        <v>1403.3102864515258</v>
      </c>
      <c r="N116" s="21">
        <f>(1+F116)*N115</f>
        <v>12158.312744440173</v>
      </c>
      <c r="O116" s="22" t="s">
        <v>5</v>
      </c>
      <c r="V116" s="44">
        <f t="shared" si="2"/>
        <v>1</v>
      </c>
    </row>
    <row r="117" spans="1:22" x14ac:dyDescent="0.25">
      <c r="B117" s="1">
        <v>40816</v>
      </c>
      <c r="C117" s="2">
        <f>'Treas Data'!D116</f>
        <v>14790340328557.1</v>
      </c>
      <c r="D117" s="5">
        <v>2011</v>
      </c>
      <c r="E117" s="2">
        <v>454393280417.03003</v>
      </c>
      <c r="F117" s="10">
        <f t="shared" si="8"/>
        <v>3.2053743485499768E-2</v>
      </c>
      <c r="G117" s="12">
        <v>40816</v>
      </c>
      <c r="H117" s="13">
        <f>'FRED Data'!I46</f>
        <v>15694.154999999999</v>
      </c>
      <c r="I117" s="30">
        <f t="shared" si="10"/>
        <v>0.94241074645669687</v>
      </c>
      <c r="J117" s="20">
        <f t="shared" si="16"/>
        <v>0.94241074645669687</v>
      </c>
      <c r="K117" s="68"/>
      <c r="L117" s="20">
        <f t="shared" si="15"/>
        <v>0.14287536641444923</v>
      </c>
      <c r="M117" s="21">
        <f>(C117/1000000000)-N117</f>
        <v>2242.3081461901602</v>
      </c>
      <c r="N117" s="21">
        <f>(1+F117)*N116</f>
        <v>12548.03218236694</v>
      </c>
      <c r="O117" s="22" t="s">
        <v>5</v>
      </c>
      <c r="V117" s="44">
        <f t="shared" si="2"/>
        <v>1</v>
      </c>
    </row>
    <row r="118" spans="1:22" x14ac:dyDescent="0.25">
      <c r="B118" s="1">
        <v>41182</v>
      </c>
      <c r="C118" s="2">
        <f>'Treas Data'!D117</f>
        <v>16066241407385.801</v>
      </c>
      <c r="D118" s="5">
        <f>1+D117</f>
        <v>2012</v>
      </c>
      <c r="E118" s="2">
        <v>359796008919.48999</v>
      </c>
      <c r="F118" s="10">
        <f t="shared" si="8"/>
        <v>2.3320535761120045E-2</v>
      </c>
      <c r="G118" s="12">
        <v>41180</v>
      </c>
      <c r="H118" s="13">
        <f>'FRED Data'!I47</f>
        <v>16308.007</v>
      </c>
      <c r="I118" s="30">
        <f t="shared" si="10"/>
        <v>0.98517503747611834</v>
      </c>
      <c r="J118" s="20">
        <f t="shared" si="16"/>
        <v>0.98517503747611834</v>
      </c>
      <c r="K118" s="68"/>
      <c r="L118" s="20">
        <f t="shared" si="15"/>
        <v>0.1977913298527702</v>
      </c>
      <c r="M118" s="21">
        <f>(C118/1000000000)-N118</f>
        <v>3225.5823917782855</v>
      </c>
      <c r="N118" s="21">
        <f>(1+F118)*N117</f>
        <v>12840.659015607514</v>
      </c>
      <c r="O118" s="22" t="s">
        <v>5</v>
      </c>
      <c r="V118" s="44">
        <f t="shared" si="2"/>
        <v>1</v>
      </c>
    </row>
    <row r="119" spans="1:22" x14ac:dyDescent="0.25">
      <c r="B119" s="1">
        <v>41547</v>
      </c>
      <c r="C119" s="2">
        <f>'Treas Data'!D118</f>
        <v>16738183526697.301</v>
      </c>
      <c r="D119" s="5">
        <f t="shared" ref="D119:D122" si="17">1+D118</f>
        <v>2013</v>
      </c>
      <c r="E119" s="2">
        <v>415688781248.40002</v>
      </c>
      <c r="F119" s="10">
        <f t="shared" si="8"/>
        <v>2.5343457907503704E-2</v>
      </c>
      <c r="G119" s="12">
        <v>41545</v>
      </c>
      <c r="H119" s="13">
        <f>'FRED Data'!I48</f>
        <v>16965.942499999997</v>
      </c>
      <c r="I119" s="30">
        <f t="shared" si="10"/>
        <v>0.98657551896673601</v>
      </c>
      <c r="J119" s="20">
        <f t="shared" si="16"/>
        <v>0.98657551896673601</v>
      </c>
      <c r="K119" s="68"/>
      <c r="L119" s="20">
        <f>M119/H119</f>
        <v>0.21054520312226255</v>
      </c>
      <c r="M119" s="21">
        <f>(C119/1000000000)-N119</f>
        <v>3572.0978098231262</v>
      </c>
      <c r="N119" s="21">
        <f>(1+F119)*N118</f>
        <v>13166.085716874173</v>
      </c>
      <c r="O119" s="22" t="s">
        <v>5</v>
      </c>
      <c r="V119" s="44">
        <f t="shared" ref="V119:V122" si="18">IF(J119&gt;J118,1,0)</f>
        <v>1</v>
      </c>
    </row>
    <row r="120" spans="1:22" x14ac:dyDescent="0.25">
      <c r="B120" s="1">
        <v>41912</v>
      </c>
      <c r="C120" s="2">
        <f>'Treas Data'!D119</f>
        <v>17824071380733.801</v>
      </c>
      <c r="D120" s="5">
        <f t="shared" si="17"/>
        <v>2014</v>
      </c>
      <c r="E120" s="2">
        <v>430812121372.04999</v>
      </c>
      <c r="F120" s="10">
        <f t="shared" si="8"/>
        <v>2.4929630461085608E-2</v>
      </c>
      <c r="G120" s="12">
        <v>41910</v>
      </c>
      <c r="H120" s="13">
        <f>'FRED Data'!I49</f>
        <v>17779.145</v>
      </c>
      <c r="I120" s="30">
        <f>C120/(H120*1000000000)</f>
        <v>1.0025269145807518</v>
      </c>
      <c r="J120" s="20">
        <f>I120</f>
        <v>1.0025269145807518</v>
      </c>
      <c r="K120" s="68"/>
      <c r="L120" s="20">
        <f t="shared" si="15"/>
        <v>0.24353027169298505</v>
      </c>
      <c r="M120" s="21">
        <f>(C120/1000000000)-N120</f>
        <v>4329.7600123189768</v>
      </c>
      <c r="N120" s="21">
        <f>(1+F120)*N119</f>
        <v>13494.311368414823</v>
      </c>
      <c r="O120" s="22" t="s">
        <v>5</v>
      </c>
      <c r="Q120" s="25">
        <f>Q115/S115</f>
        <v>0.26244803963455327</v>
      </c>
      <c r="R120" s="25">
        <f>R115/S115</f>
        <v>0.21932927941068306</v>
      </c>
      <c r="S120" s="25">
        <f>P115/S115</f>
        <v>0.51822268095476376</v>
      </c>
      <c r="V120" s="44">
        <f t="shared" si="18"/>
        <v>1</v>
      </c>
    </row>
    <row r="121" spans="1:22" x14ac:dyDescent="0.25">
      <c r="B121" s="1">
        <v>42277</v>
      </c>
      <c r="C121" s="2">
        <f>'Treas Data'!D120</f>
        <v>18150617666484.301</v>
      </c>
      <c r="D121" s="5">
        <f t="shared" si="17"/>
        <v>2015</v>
      </c>
      <c r="E121" s="2">
        <v>402435356075.48999</v>
      </c>
      <c r="F121" s="10">
        <f t="shared" si="8"/>
        <v>2.2373250011822412E-2</v>
      </c>
      <c r="G121" s="57">
        <v>42277</v>
      </c>
      <c r="H121" s="13">
        <f>'FRED Data'!I50</f>
        <v>18342.732499999998</v>
      </c>
      <c r="I121" s="30">
        <f t="shared" ref="I121:I122" si="19">C121/(H121*1000000000)</f>
        <v>0.98952637871616456</v>
      </c>
      <c r="J121" s="20">
        <f t="shared" si="16"/>
        <v>0.98952637871616456</v>
      </c>
      <c r="K121" s="68"/>
      <c r="L121" s="20">
        <f t="shared" si="15"/>
        <v>0.23739073205622752</v>
      </c>
      <c r="M121" s="21">
        <f t="shared" ref="M121" si="20">(C121/1000000000)-N121</f>
        <v>4354.394696086556</v>
      </c>
      <c r="N121" s="21">
        <f t="shared" ref="N121:N122" si="21">(1+F121)*N120</f>
        <v>13796.222970397745</v>
      </c>
      <c r="O121" s="22" t="s">
        <v>5</v>
      </c>
      <c r="Q121" s="23" t="s">
        <v>17</v>
      </c>
      <c r="R121" s="23" t="s">
        <v>25</v>
      </c>
      <c r="S121" s="23" t="s">
        <v>23</v>
      </c>
      <c r="V121" s="44">
        <f t="shared" si="18"/>
        <v>0</v>
      </c>
    </row>
    <row r="122" spans="1:22" ht="15.75" thickBot="1" x14ac:dyDescent="0.3">
      <c r="A122" s="93"/>
      <c r="B122" s="94">
        <f>'Treas Data'!B121</f>
        <v>42642</v>
      </c>
      <c r="C122" s="95">
        <f>'Treas Data'!D121</f>
        <v>19573444713936.699</v>
      </c>
      <c r="D122" s="96">
        <f t="shared" si="17"/>
        <v>2016</v>
      </c>
      <c r="E122" s="95">
        <v>432649652901.12</v>
      </c>
      <c r="F122" s="97">
        <f t="shared" si="8"/>
        <v>2.293759609122413E-2</v>
      </c>
      <c r="G122" s="98">
        <v>42643</v>
      </c>
      <c r="H122" s="99">
        <f>'FRED Data'!I51</f>
        <v>18889.446499999998</v>
      </c>
      <c r="I122" s="100">
        <f t="shared" si="19"/>
        <v>1.0362106011913423</v>
      </c>
      <c r="J122" s="101">
        <f t="shared" si="16"/>
        <v>1.0362106011913423</v>
      </c>
      <c r="K122" s="102"/>
      <c r="L122" s="101">
        <f t="shared" si="15"/>
        <v>0.28909103045764228</v>
      </c>
      <c r="M122" s="103">
        <f>(C122/1000000000)-N122</f>
        <v>5460.7695534595041</v>
      </c>
      <c r="N122" s="103">
        <f t="shared" si="21"/>
        <v>14112.675160477196</v>
      </c>
      <c r="O122" s="104" t="s">
        <v>5</v>
      </c>
      <c r="P122" s="21">
        <f>N122-N$115</f>
        <v>2337.1087571141561</v>
      </c>
      <c r="Q122" s="67">
        <f>Q120*$P122</f>
        <v>613.36961171735754</v>
      </c>
      <c r="R122" s="21">
        <f>R120*$P122</f>
        <v>512.59637960224495</v>
      </c>
      <c r="S122" s="21">
        <f>S120*$P122</f>
        <v>1211.1427657945537</v>
      </c>
      <c r="V122" s="44">
        <f t="shared" si="18"/>
        <v>1</v>
      </c>
    </row>
    <row r="123" spans="1:22" x14ac:dyDescent="0.25">
      <c r="B123" s="1">
        <f>'Treas Data'!B122</f>
        <v>42733</v>
      </c>
      <c r="C123" s="2">
        <f>'Treas Data'!D122</f>
        <v>19976826951047.801</v>
      </c>
      <c r="D123" s="5"/>
      <c r="E123" s="2"/>
      <c r="F123" s="10">
        <f>F122</f>
        <v>2.293759609122413E-2</v>
      </c>
      <c r="G123" s="57">
        <f>B123</f>
        <v>42733</v>
      </c>
      <c r="H123" s="13">
        <f>'FRED Data'!I52</f>
        <v>19070.897499999999</v>
      </c>
      <c r="I123" s="30">
        <f t="shared" ref="I123" si="22">C123/(H123*1000000000)</f>
        <v>1.0475032415777916</v>
      </c>
      <c r="J123" s="20">
        <f t="shared" ref="J123" si="23">I123</f>
        <v>1.0475032415777916</v>
      </c>
      <c r="K123" s="68"/>
      <c r="L123" s="20">
        <f t="shared" ref="L123:L125" si="24">M123/H123</f>
        <v>0.30324865832461145</v>
      </c>
      <c r="M123" s="21">
        <f t="shared" ref="M123:M125" si="25">(C123/1000000000)-N123</f>
        <v>5783.2240799211868</v>
      </c>
      <c r="N123" s="21">
        <f>(1+F123/4)*N122</f>
        <v>14193.602871126615</v>
      </c>
      <c r="O123" s="22" t="s">
        <v>5</v>
      </c>
      <c r="P123" s="22" t="s">
        <v>27</v>
      </c>
      <c r="Q123" s="21">
        <f>Q115+Q122</f>
        <v>3703.8439298664944</v>
      </c>
      <c r="R123" s="21">
        <f>R115+R122</f>
        <v>3095.3228735045095</v>
      </c>
      <c r="S123" s="21">
        <f>P115+S122</f>
        <v>7313.5083571061932</v>
      </c>
      <c r="T123" s="21">
        <f>Q123+R123+S123</f>
        <v>14112.675160477196</v>
      </c>
    </row>
    <row r="124" spans="1:22" x14ac:dyDescent="0.25">
      <c r="B124" s="1">
        <f>'Treas Data'!B123</f>
        <v>42824</v>
      </c>
      <c r="C124" s="2">
        <f>'Treas Data'!D123</f>
        <v>19846420062676.801</v>
      </c>
      <c r="D124" s="5"/>
      <c r="E124" s="2"/>
      <c r="F124" s="10">
        <f>F$127</f>
        <v>2.280493101622906E-2</v>
      </c>
      <c r="G124" s="57">
        <f t="shared" ref="G124:G133" si="26">B124</f>
        <v>42824</v>
      </c>
      <c r="H124" s="13">
        <f>'FRED Data'!I53</f>
        <v>19260.836499999998</v>
      </c>
      <c r="I124" s="30">
        <f t="shared" ref="I124:I133" si="27">C124/(H124*1000000000)</f>
        <v>1.0304028105257426</v>
      </c>
      <c r="J124" s="20">
        <f t="shared" ref="J124:J133" si="28">I124</f>
        <v>1.0304028105257426</v>
      </c>
      <c r="K124" s="68"/>
      <c r="L124" s="20">
        <f t="shared" si="24"/>
        <v>0.28928630166001545</v>
      </c>
      <c r="M124" s="21">
        <f t="shared" si="25"/>
        <v>5571.896157963236</v>
      </c>
      <c r="N124" s="21">
        <f t="shared" ref="N124:N133" si="29">(1+F124/4)*N123</f>
        <v>14274.523904713564</v>
      </c>
      <c r="T124" s="22" t="str">
        <f>IF(N122=T123,"check","wrong")</f>
        <v>check</v>
      </c>
    </row>
    <row r="125" spans="1:22" x14ac:dyDescent="0.25">
      <c r="B125" s="1">
        <f>'Treas Data'!B124</f>
        <v>42915</v>
      </c>
      <c r="C125" s="2">
        <f>'Treas Data'!D124</f>
        <v>19844554182651.301</v>
      </c>
      <c r="D125" s="5"/>
      <c r="E125" s="2"/>
      <c r="F125" s="10">
        <f t="shared" ref="F125:F126" si="30">F$127</f>
        <v>2.280493101622906E-2</v>
      </c>
      <c r="G125" s="57">
        <f t="shared" si="26"/>
        <v>42915</v>
      </c>
      <c r="H125" s="13">
        <f>'FRED Data'!I54</f>
        <v>19473.5985</v>
      </c>
      <c r="I125" s="30">
        <f t="shared" si="27"/>
        <v>1.019049159437651</v>
      </c>
      <c r="J125" s="20">
        <f t="shared" si="28"/>
        <v>1.019049159437651</v>
      </c>
      <c r="K125" s="68"/>
      <c r="L125" s="20">
        <f t="shared" si="24"/>
        <v>0.2818507270088581</v>
      </c>
      <c r="M125" s="21">
        <f t="shared" si="25"/>
        <v>5488.6478947036085</v>
      </c>
      <c r="N125" s="21">
        <f t="shared" si="29"/>
        <v>14355.906287947691</v>
      </c>
    </row>
    <row r="126" spans="1:22" s="41" customFormat="1" x14ac:dyDescent="0.25">
      <c r="B126" s="87">
        <f>'Treas Data'!B125</f>
        <v>43006</v>
      </c>
      <c r="C126" s="88">
        <f>'Treas Data'!D125</f>
        <v>20244900016053.5</v>
      </c>
      <c r="E126" s="88"/>
      <c r="F126" s="89">
        <f t="shared" si="30"/>
        <v>2.280493101622906E-2</v>
      </c>
      <c r="G126" s="90">
        <f t="shared" si="26"/>
        <v>43006</v>
      </c>
      <c r="H126" s="75">
        <f>'FRED Data'!I55</f>
        <v>19709.951500000003</v>
      </c>
      <c r="I126" s="76">
        <f t="shared" si="27"/>
        <v>1.02714103665113</v>
      </c>
      <c r="J126" s="91">
        <f t="shared" si="28"/>
        <v>1.02714103665113</v>
      </c>
      <c r="L126" s="91">
        <f t="shared" ref="L126" si="31">M126/H126</f>
        <v>0.29463022092990859</v>
      </c>
      <c r="M126" s="92">
        <f t="shared" ref="M126" si="32">(C126/1000000000)-N126</f>
        <v>5807.1473649627842</v>
      </c>
      <c r="N126" s="92">
        <f t="shared" si="29"/>
        <v>14437.752651090716</v>
      </c>
      <c r="P126" s="41" t="s">
        <v>197</v>
      </c>
    </row>
    <row r="127" spans="1:22" x14ac:dyDescent="0.25">
      <c r="B127" s="1">
        <f>'Treas Data'!B126</f>
        <v>43097</v>
      </c>
      <c r="C127" s="2">
        <f>'Treas Data'!D126</f>
        <v>20492746546193.699</v>
      </c>
      <c r="E127" s="2">
        <v>458542287311.79999</v>
      </c>
      <c r="F127" s="116">
        <f>E127/AVERAGE(C124:C127)</f>
        <v>2.280493101622906E-2</v>
      </c>
      <c r="G127" s="57">
        <f t="shared" si="26"/>
        <v>43097</v>
      </c>
      <c r="H127" s="13">
        <f>'FRED Data'!I56</f>
        <v>19936.438000000002</v>
      </c>
      <c r="I127" s="30">
        <f t="shared" si="27"/>
        <v>1.0279041093596408</v>
      </c>
      <c r="J127" s="20">
        <f t="shared" si="28"/>
        <v>1.0279041093596408</v>
      </c>
      <c r="L127" s="20">
        <f>M127/H127</f>
        <v>0.29128309505252559</v>
      </c>
      <c r="M127" s="21">
        <f>M126</f>
        <v>5807.1473649627842</v>
      </c>
      <c r="N127" s="21">
        <f t="shared" si="29"/>
        <v>14520.065639400093</v>
      </c>
      <c r="P127" t="s">
        <v>198</v>
      </c>
    </row>
    <row r="128" spans="1:22" x14ac:dyDescent="0.25">
      <c r="B128" s="1">
        <f>'Treas Data'!B127</f>
        <v>43188</v>
      </c>
      <c r="C128" s="2">
        <f>'Treas Data'!D127</f>
        <v>21089642954195.801</v>
      </c>
      <c r="E128" s="2"/>
      <c r="F128" s="117">
        <f>F$131</f>
        <v>2.4364418211662464E-2</v>
      </c>
      <c r="G128" s="57">
        <f t="shared" si="26"/>
        <v>43188</v>
      </c>
      <c r="H128" s="13">
        <f>'FRED Data'!I57</f>
        <v>20226.485499999999</v>
      </c>
      <c r="I128" s="30">
        <f t="shared" si="27"/>
        <v>1.0426746136493066</v>
      </c>
      <c r="J128" s="20">
        <f t="shared" si="28"/>
        <v>1.0426746136493066</v>
      </c>
      <c r="L128" s="20">
        <f t="shared" ref="L128:L133" si="33">M128/H128</f>
        <v>0.28710609981960455</v>
      </c>
      <c r="M128" s="21">
        <f t="shared" ref="M128:M133" si="34">M127</f>
        <v>5807.1473649627842</v>
      </c>
      <c r="N128" s="21">
        <f t="shared" si="29"/>
        <v>14608.508877324877</v>
      </c>
    </row>
    <row r="129" spans="2:14" x14ac:dyDescent="0.25">
      <c r="B129" s="1">
        <f>'Treas Data'!B128</f>
        <v>43279</v>
      </c>
      <c r="C129" s="2">
        <f>'Treas Data'!D128</f>
        <v>21195069635322.801</v>
      </c>
      <c r="E129" s="2"/>
      <c r="F129" s="117">
        <f t="shared" ref="F129:F130" si="35">F$131</f>
        <v>2.4364418211662464E-2</v>
      </c>
      <c r="G129" s="57">
        <f t="shared" si="26"/>
        <v>43279</v>
      </c>
      <c r="H129" s="13">
        <f>'FRED Data'!I58</f>
        <v>20535.063999999998</v>
      </c>
      <c r="I129" s="30">
        <f t="shared" si="27"/>
        <v>1.0321404226119189</v>
      </c>
      <c r="J129" s="20">
        <f t="shared" si="28"/>
        <v>1.0321404226119189</v>
      </c>
      <c r="L129" s="20">
        <f t="shared" si="33"/>
        <v>0.28279178311607817</v>
      </c>
      <c r="M129" s="21">
        <f t="shared" si="34"/>
        <v>5807.1473649627842</v>
      </c>
      <c r="N129" s="21">
        <f t="shared" si="29"/>
        <v>14697.49083225886</v>
      </c>
    </row>
    <row r="130" spans="2:14" x14ac:dyDescent="0.25">
      <c r="B130" s="1">
        <f>'Treas Data'!B129</f>
        <v>43373</v>
      </c>
      <c r="C130" s="2">
        <f>'Treas Data'!D129</f>
        <v>21606948383546.199</v>
      </c>
      <c r="E130" s="2"/>
      <c r="F130" s="117">
        <f t="shared" si="35"/>
        <v>2.4364418211662464E-2</v>
      </c>
      <c r="G130" s="57">
        <f t="shared" si="26"/>
        <v>43373</v>
      </c>
      <c r="H130" s="13">
        <f>'FRED Data'!I59</f>
        <v>20761.671999999999</v>
      </c>
      <c r="I130" s="30">
        <f t="shared" si="27"/>
        <v>1.0407133097732302</v>
      </c>
      <c r="J130" s="20">
        <f t="shared" si="28"/>
        <v>1.0407133097732302</v>
      </c>
      <c r="L130" s="20">
        <f t="shared" si="33"/>
        <v>0.27970518775957853</v>
      </c>
      <c r="M130" s="21">
        <f t="shared" si="34"/>
        <v>5807.1473649627842</v>
      </c>
      <c r="N130" s="21">
        <f t="shared" si="29"/>
        <v>14787.014785583669</v>
      </c>
    </row>
    <row r="131" spans="2:14" x14ac:dyDescent="0.25">
      <c r="B131" s="1">
        <f>'Treas Data'!B130</f>
        <v>43464</v>
      </c>
      <c r="C131" s="2">
        <f>'Treas Data'!D130</f>
        <v>21974095705790.5</v>
      </c>
      <c r="E131" s="2">
        <v>523017301446.12</v>
      </c>
      <c r="F131" s="116">
        <f>E131/AVERAGE(C128:C131)</f>
        <v>2.4364418211662464E-2</v>
      </c>
      <c r="G131" s="57">
        <f t="shared" si="26"/>
        <v>43464</v>
      </c>
      <c r="H131" s="13">
        <f>'FRED Data'!I60</f>
        <v>20962.601000000002</v>
      </c>
      <c r="I131" s="30">
        <f t="shared" si="27"/>
        <v>1.048252347396704</v>
      </c>
      <c r="J131" s="20">
        <f t="shared" si="28"/>
        <v>1.048252347396704</v>
      </c>
      <c r="L131" s="20">
        <f t="shared" si="33"/>
        <v>0.27702418058535694</v>
      </c>
      <c r="M131" s="21">
        <f t="shared" si="34"/>
        <v>5807.1473649627842</v>
      </c>
      <c r="N131" s="21">
        <f t="shared" si="29"/>
        <v>14877.08403866817</v>
      </c>
    </row>
    <row r="132" spans="2:14" x14ac:dyDescent="0.25">
      <c r="B132" s="1">
        <f>'Treas Data'!B131</f>
        <v>43555</v>
      </c>
      <c r="C132" s="2">
        <f>'Treas Data'!D131</f>
        <v>22027704987724.398</v>
      </c>
      <c r="E132" s="2"/>
      <c r="F132" s="117">
        <f>F131</f>
        <v>2.4364418211662464E-2</v>
      </c>
      <c r="G132" s="57">
        <f t="shared" si="26"/>
        <v>43555</v>
      </c>
      <c r="H132" s="13">
        <f>'FRED Data'!I61</f>
        <v>21160.5265</v>
      </c>
      <c r="I132" s="30">
        <f t="shared" si="27"/>
        <v>1.0409809504373342</v>
      </c>
      <c r="J132" s="20">
        <f t="shared" si="28"/>
        <v>1.0409809504373342</v>
      </c>
      <c r="L132" s="20">
        <f t="shared" si="33"/>
        <v>0.27443302816509713</v>
      </c>
      <c r="M132" s="21">
        <f t="shared" si="34"/>
        <v>5807.1473649627842</v>
      </c>
      <c r="N132" s="21">
        <f t="shared" si="29"/>
        <v>14967.701912990211</v>
      </c>
    </row>
    <row r="133" spans="2:14" x14ac:dyDescent="0.25">
      <c r="B133" s="1">
        <f>'Treas Data'!B132</f>
        <v>43646</v>
      </c>
      <c r="C133" s="2">
        <f>'Treas Data'!D132</f>
        <v>22023127457029.398</v>
      </c>
      <c r="E133" s="2"/>
      <c r="F133" s="117">
        <f>F132</f>
        <v>2.4364418211662464E-2</v>
      </c>
      <c r="G133" s="57">
        <f t="shared" si="26"/>
        <v>43646</v>
      </c>
      <c r="H133" s="13">
        <f>'FRED Data'!I62</f>
        <v>21359.953750000001</v>
      </c>
      <c r="I133" s="30">
        <f t="shared" si="27"/>
        <v>1.0310475254202927</v>
      </c>
      <c r="J133" s="20">
        <f t="shared" si="28"/>
        <v>1.0310475254202927</v>
      </c>
      <c r="L133" s="20">
        <f t="shared" si="33"/>
        <v>0.271870783660418</v>
      </c>
      <c r="M133" s="21">
        <f t="shared" si="34"/>
        <v>5807.1473649627842</v>
      </c>
      <c r="N133" s="21">
        <f t="shared" si="29"/>
        <v>15058.871750259112</v>
      </c>
    </row>
    <row r="135" spans="2:14" x14ac:dyDescent="0.25">
      <c r="B135" t="s">
        <v>200</v>
      </c>
      <c r="J135" t="s">
        <v>200</v>
      </c>
      <c r="L135" t="s">
        <v>200</v>
      </c>
    </row>
    <row r="136" spans="2:14" x14ac:dyDescent="0.25">
      <c r="C136" t="s">
        <v>187</v>
      </c>
      <c r="G136" t="s">
        <v>186</v>
      </c>
      <c r="H136" t="s">
        <v>8</v>
      </c>
      <c r="N136" s="66" t="s">
        <v>26</v>
      </c>
    </row>
    <row r="137" spans="2:14" x14ac:dyDescent="0.25">
      <c r="N137" s="66" t="s">
        <v>199</v>
      </c>
    </row>
    <row r="138" spans="2:14" x14ac:dyDescent="0.25">
      <c r="N138" s="66" t="s">
        <v>19</v>
      </c>
    </row>
    <row r="140" spans="2:14" ht="15.75" thickBot="1" x14ac:dyDescent="0.3"/>
    <row r="141" spans="2:14" ht="15.75" thickBot="1" x14ac:dyDescent="0.3">
      <c r="D141" s="110">
        <v>2018</v>
      </c>
      <c r="E141" s="113">
        <v>523017301446.12</v>
      </c>
    </row>
    <row r="142" spans="2:14" ht="15.75" thickBot="1" x14ac:dyDescent="0.3">
      <c r="D142" s="111">
        <v>2017</v>
      </c>
      <c r="E142" s="114">
        <v>458542287311.79999</v>
      </c>
    </row>
    <row r="143" spans="2:14" ht="15.75" thickBot="1" x14ac:dyDescent="0.3">
      <c r="D143" s="111">
        <v>2016</v>
      </c>
      <c r="E143" s="114">
        <v>432649652901.12</v>
      </c>
    </row>
    <row r="144" spans="2:14" ht="15.75" thickBot="1" x14ac:dyDescent="0.3">
      <c r="D144" s="112">
        <v>2015</v>
      </c>
      <c r="E144" s="115">
        <v>402435356075.48999</v>
      </c>
    </row>
  </sheetData>
  <mergeCells count="1">
    <mergeCell ref="M78:N78"/>
  </mergeCells>
  <hyperlinks>
    <hyperlink ref="B3" r:id="rId1" xr:uid="{00000000-0004-0000-0200-000000000000}"/>
    <hyperlink ref="B2" r:id="rId2" xr:uid="{00000000-0004-0000-0200-000001000000}"/>
    <hyperlink ref="E92" r:id="rId3" xr:uid="{00000000-0004-0000-0200-000002000000}"/>
    <hyperlink ref="F3" r:id="rId4" xr:uid="{E78F9BB3-C66F-404C-8787-042EE245D282}"/>
  </hyperlinks>
  <pageMargins left="0.7" right="0.7" top="0.75" bottom="0.75" header="0.3" footer="0.3"/>
  <pageSetup orientation="portrait" r:id="rId5"/>
  <drawing r:id="rId6"/>
  <legacyDrawing r:id="rId7"/>
  <webPublishItems count="1">
    <webPublishItem id="28009" divId="National-Debt_28009" sourceType="sheet" destinationFile="C:\Users\steven\Google Drive\e.Websites\6 zFacts\2. Fact Cards\Debt\zFacts-national-debt-graph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Q85"/>
  <sheetViews>
    <sheetView topLeftCell="A3" workbookViewId="0">
      <selection activeCell="C1" sqref="C1"/>
    </sheetView>
  </sheetViews>
  <sheetFormatPr defaultRowHeight="15" x14ac:dyDescent="0.25"/>
  <cols>
    <col min="16" max="16" width="17.28515625" customWidth="1"/>
    <col min="17" max="17" width="18.28515625" customWidth="1"/>
  </cols>
  <sheetData>
    <row r="1" spans="3:17" x14ac:dyDescent="0.25">
      <c r="C1" s="64" t="s">
        <v>170</v>
      </c>
    </row>
    <row r="2" spans="3:17" x14ac:dyDescent="0.25">
      <c r="C2" s="32" t="s">
        <v>36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3:17" x14ac:dyDescent="0.25">
      <c r="C3" s="35" t="s">
        <v>37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3:17" x14ac:dyDescent="0.25">
      <c r="C4" s="35" t="s">
        <v>38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3:17" x14ac:dyDescent="0.25">
      <c r="C5" s="35" t="s">
        <v>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3:17" x14ac:dyDescent="0.25"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3:17" x14ac:dyDescent="0.25">
      <c r="C7" s="35"/>
      <c r="D7" s="36"/>
      <c r="E7" s="36"/>
      <c r="F7" s="36"/>
      <c r="G7" s="36"/>
      <c r="H7" s="36"/>
      <c r="I7" s="36"/>
      <c r="J7" s="119" t="s">
        <v>43</v>
      </c>
      <c r="K7" s="119"/>
      <c r="L7" s="119"/>
      <c r="M7" s="119"/>
      <c r="N7" s="119"/>
      <c r="O7" s="37"/>
    </row>
    <row r="8" spans="3:17" x14ac:dyDescent="0.25">
      <c r="C8" s="35"/>
      <c r="D8" s="36"/>
      <c r="E8" s="36" t="s">
        <v>40</v>
      </c>
      <c r="F8" s="36"/>
      <c r="G8" s="36" t="s">
        <v>49</v>
      </c>
      <c r="H8" s="36"/>
      <c r="I8" s="36"/>
      <c r="J8" s="38" t="s">
        <v>40</v>
      </c>
      <c r="K8" s="36"/>
      <c r="L8" s="36" t="s">
        <v>49</v>
      </c>
      <c r="M8" s="36"/>
      <c r="N8" s="36"/>
      <c r="O8" s="37"/>
    </row>
    <row r="9" spans="3:17" x14ac:dyDescent="0.25">
      <c r="C9" s="35"/>
      <c r="D9" s="36"/>
      <c r="E9" s="36" t="s">
        <v>41</v>
      </c>
      <c r="F9" s="36"/>
      <c r="G9" s="36" t="s">
        <v>50</v>
      </c>
      <c r="H9" s="36"/>
      <c r="I9" s="36"/>
      <c r="J9" s="38" t="s">
        <v>41</v>
      </c>
      <c r="K9" s="36"/>
      <c r="L9" s="36" t="s">
        <v>50</v>
      </c>
      <c r="M9" s="36"/>
      <c r="N9" s="36"/>
      <c r="O9" s="37"/>
    </row>
    <row r="10" spans="3:17" ht="15" customHeight="1" x14ac:dyDescent="0.25">
      <c r="C10" s="35" t="s">
        <v>42</v>
      </c>
      <c r="D10" s="36"/>
      <c r="E10" s="36" t="s">
        <v>19</v>
      </c>
      <c r="F10" s="36"/>
      <c r="G10" s="36" t="s">
        <v>51</v>
      </c>
      <c r="H10" s="36"/>
      <c r="I10" s="36"/>
      <c r="J10" s="38" t="s">
        <v>19</v>
      </c>
      <c r="K10" s="36"/>
      <c r="L10" s="36" t="s">
        <v>51</v>
      </c>
      <c r="M10" s="36"/>
      <c r="N10" s="36"/>
      <c r="O10" s="37"/>
      <c r="P10" s="22" t="s">
        <v>55</v>
      </c>
    </row>
    <row r="11" spans="3:17" x14ac:dyDescent="0.25">
      <c r="C11" s="35">
        <v>1940</v>
      </c>
      <c r="D11" s="36" t="s">
        <v>30</v>
      </c>
      <c r="E11" s="39">
        <v>50696</v>
      </c>
      <c r="F11" s="39">
        <v>7924</v>
      </c>
      <c r="G11" s="39">
        <v>42772</v>
      </c>
      <c r="H11" s="39">
        <v>2458</v>
      </c>
      <c r="I11" s="39">
        <v>40314</v>
      </c>
      <c r="J11" s="70">
        <v>52.4</v>
      </c>
      <c r="K11" s="36">
        <v>8.1999999999999993</v>
      </c>
      <c r="L11" s="36">
        <v>44.2</v>
      </c>
      <c r="M11" s="36">
        <v>2.5</v>
      </c>
      <c r="N11" s="36">
        <v>41.6</v>
      </c>
      <c r="O11" s="37"/>
      <c r="P11" s="2">
        <f>'Treas Data'!D45</f>
        <v>42967531037.68</v>
      </c>
      <c r="Q11" s="54"/>
    </row>
    <row r="12" spans="3:17" x14ac:dyDescent="0.25">
      <c r="C12" s="35">
        <v>1941</v>
      </c>
      <c r="D12" s="36" t="s">
        <v>30</v>
      </c>
      <c r="E12" s="39">
        <v>57531</v>
      </c>
      <c r="F12" s="39">
        <v>9308</v>
      </c>
      <c r="G12" s="39">
        <v>48223</v>
      </c>
      <c r="H12" s="39">
        <v>2180</v>
      </c>
      <c r="I12" s="39">
        <v>46043</v>
      </c>
      <c r="J12" s="70">
        <v>50.4</v>
      </c>
      <c r="K12" s="36">
        <v>8.1999999999999993</v>
      </c>
      <c r="L12" s="36">
        <v>42.3</v>
      </c>
      <c r="M12" s="36">
        <v>1.9</v>
      </c>
      <c r="N12" s="36">
        <v>40.4</v>
      </c>
      <c r="O12" s="37"/>
      <c r="P12" s="2">
        <f>'Treas Data'!D46</f>
        <v>48961443535.709999</v>
      </c>
    </row>
    <row r="13" spans="3:17" x14ac:dyDescent="0.25">
      <c r="C13" s="35">
        <v>1942</v>
      </c>
      <c r="D13" s="36" t="s">
        <v>30</v>
      </c>
      <c r="E13" s="39">
        <v>79200</v>
      </c>
      <c r="F13" s="39">
        <v>11447</v>
      </c>
      <c r="G13" s="39">
        <v>67753</v>
      </c>
      <c r="H13" s="39">
        <v>2640</v>
      </c>
      <c r="I13" s="39">
        <v>65113</v>
      </c>
      <c r="J13" s="70">
        <v>54.9</v>
      </c>
      <c r="K13" s="36">
        <v>7.9</v>
      </c>
      <c r="L13" s="36">
        <v>47</v>
      </c>
      <c r="M13" s="36">
        <v>1.8</v>
      </c>
      <c r="N13" s="36">
        <v>45.1</v>
      </c>
      <c r="O13" s="37"/>
      <c r="P13" s="2">
        <f>'Treas Data'!D47</f>
        <v>72422445116.220001</v>
      </c>
    </row>
    <row r="14" spans="3:17" x14ac:dyDescent="0.25">
      <c r="C14" s="35">
        <v>1943</v>
      </c>
      <c r="D14" s="36" t="s">
        <v>30</v>
      </c>
      <c r="E14" s="39">
        <v>142648</v>
      </c>
      <c r="F14" s="39">
        <v>14882</v>
      </c>
      <c r="G14" s="39">
        <v>127766</v>
      </c>
      <c r="H14" s="39">
        <v>7149</v>
      </c>
      <c r="I14" s="39">
        <v>120617</v>
      </c>
      <c r="J14" s="70">
        <v>79.099999999999994</v>
      </c>
      <c r="K14" s="36">
        <v>8.3000000000000007</v>
      </c>
      <c r="L14" s="36">
        <v>70.900000000000006</v>
      </c>
      <c r="M14" s="36">
        <v>4</v>
      </c>
      <c r="N14" s="36">
        <v>66.900000000000006</v>
      </c>
      <c r="O14" s="37"/>
      <c r="P14" s="2">
        <f>'Treas Data'!D48</f>
        <v>136696090329.89999</v>
      </c>
    </row>
    <row r="15" spans="3:17" x14ac:dyDescent="0.25">
      <c r="C15" s="35">
        <v>1944</v>
      </c>
      <c r="D15" s="36" t="s">
        <v>30</v>
      </c>
      <c r="E15" s="39">
        <v>204079</v>
      </c>
      <c r="F15" s="39">
        <v>19283</v>
      </c>
      <c r="G15" s="39">
        <v>184796</v>
      </c>
      <c r="H15" s="39">
        <v>14899</v>
      </c>
      <c r="I15" s="39">
        <v>169897</v>
      </c>
      <c r="J15" s="70">
        <v>97.6</v>
      </c>
      <c r="K15" s="36">
        <v>9.1999999999999993</v>
      </c>
      <c r="L15" s="36">
        <v>88.3</v>
      </c>
      <c r="M15" s="36">
        <v>7.1</v>
      </c>
      <c r="N15" s="36">
        <v>81.2</v>
      </c>
      <c r="O15" s="37"/>
      <c r="P15" s="2">
        <f>'Treas Data'!D49</f>
        <v>201003387221.13</v>
      </c>
    </row>
    <row r="16" spans="3:17" x14ac:dyDescent="0.25">
      <c r="C16" s="35">
        <v>1945</v>
      </c>
      <c r="D16" s="36" t="s">
        <v>30</v>
      </c>
      <c r="E16" s="39">
        <v>260123</v>
      </c>
      <c r="F16" s="39">
        <v>24941</v>
      </c>
      <c r="G16" s="39">
        <v>235182</v>
      </c>
      <c r="H16" s="39">
        <v>21792</v>
      </c>
      <c r="I16" s="39">
        <v>213390</v>
      </c>
      <c r="J16" s="70">
        <v>117.5</v>
      </c>
      <c r="K16" s="36">
        <v>11.3</v>
      </c>
      <c r="L16" s="36">
        <v>106.2</v>
      </c>
      <c r="M16" s="36">
        <v>9.8000000000000007</v>
      </c>
      <c r="N16" s="36">
        <v>96.4</v>
      </c>
      <c r="O16" s="37"/>
      <c r="P16" s="2">
        <f>'Treas Data'!D50</f>
        <v>258682187409.92999</v>
      </c>
    </row>
    <row r="17" spans="3:16" x14ac:dyDescent="0.25">
      <c r="C17" s="35">
        <v>1946</v>
      </c>
      <c r="D17" s="36" t="s">
        <v>30</v>
      </c>
      <c r="E17" s="39">
        <v>270991</v>
      </c>
      <c r="F17" s="39">
        <v>29130</v>
      </c>
      <c r="G17" s="39">
        <v>241861</v>
      </c>
      <c r="H17" s="39">
        <v>23783</v>
      </c>
      <c r="I17" s="39">
        <v>218078</v>
      </c>
      <c r="J17" s="70">
        <v>121.7</v>
      </c>
      <c r="K17" s="36">
        <v>13.1</v>
      </c>
      <c r="L17" s="36">
        <v>108.6</v>
      </c>
      <c r="M17" s="36">
        <v>10.7</v>
      </c>
      <c r="N17" s="36">
        <v>97.9</v>
      </c>
      <c r="O17" s="37"/>
      <c r="P17" s="2">
        <f>'Treas Data'!D51</f>
        <v>269422099173.26001</v>
      </c>
    </row>
    <row r="18" spans="3:16" x14ac:dyDescent="0.25">
      <c r="C18" s="35">
        <v>1947</v>
      </c>
      <c r="D18" s="36" t="s">
        <v>30</v>
      </c>
      <c r="E18" s="39">
        <v>257149</v>
      </c>
      <c r="F18" s="39">
        <v>32810</v>
      </c>
      <c r="G18" s="39">
        <v>224339</v>
      </c>
      <c r="H18" s="39">
        <v>21872</v>
      </c>
      <c r="I18" s="39">
        <v>202467</v>
      </c>
      <c r="J18" s="70">
        <v>110.3</v>
      </c>
      <c r="K18" s="36">
        <v>14.1</v>
      </c>
      <c r="L18" s="36">
        <v>96.2</v>
      </c>
      <c r="M18" s="36">
        <v>9.4</v>
      </c>
      <c r="N18" s="36">
        <v>86.8</v>
      </c>
      <c r="O18" s="37"/>
      <c r="P18" s="2">
        <f>'Treas Data'!D52</f>
        <v>258286383108.67001</v>
      </c>
    </row>
    <row r="19" spans="3:16" x14ac:dyDescent="0.25">
      <c r="C19" s="35">
        <v>1948</v>
      </c>
      <c r="D19" s="36" t="s">
        <v>30</v>
      </c>
      <c r="E19" s="39">
        <v>252031</v>
      </c>
      <c r="F19" s="39">
        <v>35761</v>
      </c>
      <c r="G19" s="39">
        <v>216270</v>
      </c>
      <c r="H19" s="39">
        <v>21366</v>
      </c>
      <c r="I19" s="39">
        <v>194904</v>
      </c>
      <c r="J19" s="70">
        <v>98.4</v>
      </c>
      <c r="K19" s="36">
        <v>14</v>
      </c>
      <c r="L19" s="36">
        <v>84.5</v>
      </c>
      <c r="M19" s="36">
        <v>8.3000000000000007</v>
      </c>
      <c r="N19" s="36">
        <v>76.099999999999994</v>
      </c>
      <c r="O19" s="37"/>
      <c r="P19" s="2">
        <f>'Treas Data'!D53</f>
        <v>252292246512.98999</v>
      </c>
    </row>
    <row r="20" spans="3:16" x14ac:dyDescent="0.25">
      <c r="C20" s="35">
        <v>1949</v>
      </c>
      <c r="D20" s="36" t="s">
        <v>30</v>
      </c>
      <c r="E20" s="39">
        <v>252610</v>
      </c>
      <c r="F20" s="39">
        <v>38288</v>
      </c>
      <c r="G20" s="39">
        <v>214322</v>
      </c>
      <c r="H20" s="39">
        <v>19343</v>
      </c>
      <c r="I20" s="39">
        <v>194979</v>
      </c>
      <c r="J20" s="70">
        <v>93.2</v>
      </c>
      <c r="K20" s="36">
        <v>14.1</v>
      </c>
      <c r="L20" s="36">
        <v>79.099999999999994</v>
      </c>
      <c r="M20" s="36">
        <v>7.1</v>
      </c>
      <c r="N20" s="36">
        <v>71.900000000000006</v>
      </c>
      <c r="O20" s="37"/>
      <c r="P20" s="2">
        <f>'Treas Data'!D54</f>
        <v>252770359860.32999</v>
      </c>
    </row>
    <row r="21" spans="3:16" x14ac:dyDescent="0.25">
      <c r="C21" s="35">
        <v>1950</v>
      </c>
      <c r="D21" s="36" t="s">
        <v>30</v>
      </c>
      <c r="E21" s="39">
        <v>256853</v>
      </c>
      <c r="F21" s="39">
        <v>37830</v>
      </c>
      <c r="G21" s="39">
        <v>219023</v>
      </c>
      <c r="H21" s="39">
        <v>18331</v>
      </c>
      <c r="I21" s="39">
        <v>200692</v>
      </c>
      <c r="J21" s="70">
        <v>94.1</v>
      </c>
      <c r="K21" s="36">
        <v>13.9</v>
      </c>
      <c r="L21" s="36">
        <v>80.2</v>
      </c>
      <c r="M21" s="36">
        <v>6.7</v>
      </c>
      <c r="N21" s="36">
        <v>73.5</v>
      </c>
      <c r="O21" s="37"/>
      <c r="P21" s="2">
        <f>'Treas Data'!D55</f>
        <v>257357352351.04001</v>
      </c>
    </row>
    <row r="22" spans="3:16" x14ac:dyDescent="0.25">
      <c r="C22" s="35">
        <v>1951</v>
      </c>
      <c r="D22" s="36" t="s">
        <v>30</v>
      </c>
      <c r="E22" s="39">
        <v>255288</v>
      </c>
      <c r="F22" s="39">
        <v>40962</v>
      </c>
      <c r="G22" s="39">
        <v>214326</v>
      </c>
      <c r="H22" s="39">
        <v>22982</v>
      </c>
      <c r="I22" s="39">
        <v>191344</v>
      </c>
      <c r="J22" s="70">
        <v>79.599999999999994</v>
      </c>
      <c r="K22" s="36">
        <v>12.8</v>
      </c>
      <c r="L22" s="36">
        <v>66.900000000000006</v>
      </c>
      <c r="M22" s="36">
        <v>7.2</v>
      </c>
      <c r="N22" s="36">
        <v>59.7</v>
      </c>
      <c r="O22" s="37"/>
      <c r="P22" s="2">
        <f>'Treas Data'!D56</f>
        <v>255221976814.92999</v>
      </c>
    </row>
    <row r="23" spans="3:16" x14ac:dyDescent="0.25">
      <c r="C23" s="35">
        <v>1952</v>
      </c>
      <c r="D23" s="36" t="s">
        <v>30</v>
      </c>
      <c r="E23" s="39">
        <v>259097</v>
      </c>
      <c r="F23" s="39">
        <v>44339</v>
      </c>
      <c r="G23" s="39">
        <v>214758</v>
      </c>
      <c r="H23" s="39">
        <v>22906</v>
      </c>
      <c r="I23" s="39">
        <v>191852</v>
      </c>
      <c r="J23" s="70">
        <v>74.3</v>
      </c>
      <c r="K23" s="36">
        <v>12.7</v>
      </c>
      <c r="L23" s="36">
        <v>61.6</v>
      </c>
      <c r="M23" s="36">
        <v>6.6</v>
      </c>
      <c r="N23" s="36">
        <v>55</v>
      </c>
      <c r="O23" s="37"/>
      <c r="P23" s="2">
        <f>'Treas Data'!D57</f>
        <v>259105178785.42999</v>
      </c>
    </row>
    <row r="24" spans="3:16" x14ac:dyDescent="0.25">
      <c r="C24" s="35">
        <v>1953</v>
      </c>
      <c r="D24" s="36" t="s">
        <v>30</v>
      </c>
      <c r="E24" s="39">
        <v>265963</v>
      </c>
      <c r="F24" s="39">
        <v>47580</v>
      </c>
      <c r="G24" s="39">
        <v>218383</v>
      </c>
      <c r="H24" s="39">
        <v>24746</v>
      </c>
      <c r="I24" s="39">
        <v>193637</v>
      </c>
      <c r="J24" s="70">
        <v>71.3</v>
      </c>
      <c r="K24" s="36">
        <v>12.8</v>
      </c>
      <c r="L24" s="36">
        <v>58.6</v>
      </c>
      <c r="M24" s="36">
        <v>6.6</v>
      </c>
      <c r="N24" s="36">
        <v>51.9</v>
      </c>
      <c r="O24" s="37"/>
      <c r="P24" s="2">
        <f>'Treas Data'!D58</f>
        <v>266071061638.57001</v>
      </c>
    </row>
    <row r="25" spans="3:16" x14ac:dyDescent="0.25">
      <c r="C25" s="35">
        <v>1954</v>
      </c>
      <c r="D25" s="36" t="s">
        <v>30</v>
      </c>
      <c r="E25" s="39">
        <v>270812</v>
      </c>
      <c r="F25" s="39">
        <v>46313</v>
      </c>
      <c r="G25" s="39">
        <v>224499</v>
      </c>
      <c r="H25" s="39">
        <v>25037</v>
      </c>
      <c r="I25" s="39">
        <v>199462</v>
      </c>
      <c r="J25" s="70">
        <v>71.8</v>
      </c>
      <c r="K25" s="36">
        <v>12.3</v>
      </c>
      <c r="L25" s="36">
        <v>59.5</v>
      </c>
      <c r="M25" s="36">
        <v>6.6</v>
      </c>
      <c r="N25" s="36">
        <v>52.9</v>
      </c>
      <c r="O25" s="37"/>
      <c r="P25" s="2">
        <f>'Treas Data'!D59</f>
        <v>271259599108.45999</v>
      </c>
    </row>
    <row r="26" spans="3:16" x14ac:dyDescent="0.25">
      <c r="C26" s="35">
        <v>1955</v>
      </c>
      <c r="D26" s="36" t="s">
        <v>30</v>
      </c>
      <c r="E26" s="39">
        <v>274366</v>
      </c>
      <c r="F26" s="39">
        <v>47751</v>
      </c>
      <c r="G26" s="39">
        <v>226616</v>
      </c>
      <c r="H26" s="39">
        <v>23607</v>
      </c>
      <c r="I26" s="39">
        <v>203009</v>
      </c>
      <c r="J26" s="70">
        <v>69.5</v>
      </c>
      <c r="K26" s="36">
        <v>12.1</v>
      </c>
      <c r="L26" s="36">
        <v>57.4</v>
      </c>
      <c r="M26" s="36">
        <v>6</v>
      </c>
      <c r="N26" s="36">
        <v>51.4</v>
      </c>
      <c r="O26" s="37"/>
      <c r="P26" s="2">
        <f>'Treas Data'!D60</f>
        <v>274374222802.62</v>
      </c>
    </row>
    <row r="27" spans="3:16" x14ac:dyDescent="0.25">
      <c r="C27" s="35">
        <v>1956</v>
      </c>
      <c r="D27" s="36" t="s">
        <v>30</v>
      </c>
      <c r="E27" s="39">
        <v>272693</v>
      </c>
      <c r="F27" s="39">
        <v>50537</v>
      </c>
      <c r="G27" s="39">
        <v>222156</v>
      </c>
      <c r="H27" s="39">
        <v>23758</v>
      </c>
      <c r="I27" s="39">
        <v>198398</v>
      </c>
      <c r="J27" s="70">
        <v>63.8</v>
      </c>
      <c r="K27" s="36">
        <v>11.8</v>
      </c>
      <c r="L27" s="36">
        <v>52</v>
      </c>
      <c r="M27" s="36">
        <v>5.6</v>
      </c>
      <c r="N27" s="36">
        <v>46.4</v>
      </c>
      <c r="O27" s="37"/>
      <c r="P27" s="2">
        <f>'Treas Data'!D61</f>
        <v>272750813649.32001</v>
      </c>
    </row>
    <row r="28" spans="3:16" x14ac:dyDescent="0.25">
      <c r="C28" s="35">
        <v>1957</v>
      </c>
      <c r="D28" s="36" t="s">
        <v>30</v>
      </c>
      <c r="E28" s="39">
        <v>272252</v>
      </c>
      <c r="F28" s="39">
        <v>52931</v>
      </c>
      <c r="G28" s="39">
        <v>219320</v>
      </c>
      <c r="H28" s="39">
        <v>23035</v>
      </c>
      <c r="I28" s="39">
        <v>196285</v>
      </c>
      <c r="J28" s="70">
        <v>60.5</v>
      </c>
      <c r="K28" s="36">
        <v>11.8</v>
      </c>
      <c r="L28" s="36">
        <v>48.7</v>
      </c>
      <c r="M28" s="36">
        <v>5.0999999999999996</v>
      </c>
      <c r="N28" s="36">
        <v>43.6</v>
      </c>
      <c r="O28" s="37"/>
      <c r="P28" s="2">
        <f>'Treas Data'!D62</f>
        <v>270527171896.42999</v>
      </c>
    </row>
    <row r="29" spans="3:16" x14ac:dyDescent="0.25">
      <c r="C29" s="35">
        <v>1958</v>
      </c>
      <c r="D29" s="36" t="s">
        <v>30</v>
      </c>
      <c r="E29" s="39">
        <v>279666</v>
      </c>
      <c r="F29" s="39">
        <v>53329</v>
      </c>
      <c r="G29" s="39">
        <v>226336</v>
      </c>
      <c r="H29" s="39">
        <v>25438</v>
      </c>
      <c r="I29" s="39">
        <v>200898</v>
      </c>
      <c r="J29" s="70">
        <v>60.7</v>
      </c>
      <c r="K29" s="36">
        <v>11.6</v>
      </c>
      <c r="L29" s="36">
        <v>49.2</v>
      </c>
      <c r="M29" s="36">
        <v>5.5</v>
      </c>
      <c r="N29" s="36">
        <v>43.6</v>
      </c>
      <c r="O29" s="37"/>
      <c r="P29" s="2">
        <f>'Treas Data'!D63</f>
        <v>276343217745.81</v>
      </c>
    </row>
    <row r="30" spans="3:16" x14ac:dyDescent="0.25">
      <c r="C30" s="35">
        <v>1959</v>
      </c>
      <c r="D30" s="36" t="s">
        <v>30</v>
      </c>
      <c r="E30" s="39">
        <v>287465</v>
      </c>
      <c r="F30" s="39">
        <v>52764</v>
      </c>
      <c r="G30" s="39">
        <v>234701</v>
      </c>
      <c r="H30" s="39">
        <v>26044</v>
      </c>
      <c r="I30" s="39">
        <v>208657</v>
      </c>
      <c r="J30" s="70">
        <v>58.5</v>
      </c>
      <c r="K30" s="36">
        <v>10.7</v>
      </c>
      <c r="L30" s="36">
        <v>47.8</v>
      </c>
      <c r="M30" s="36">
        <v>5.3</v>
      </c>
      <c r="N30" s="36">
        <v>42.5</v>
      </c>
      <c r="O30" s="37"/>
      <c r="P30" s="2">
        <f>'Treas Data'!D64</f>
        <v>284705907078.21997</v>
      </c>
    </row>
    <row r="31" spans="3:16" x14ac:dyDescent="0.25">
      <c r="C31" s="35">
        <v>1960</v>
      </c>
      <c r="D31" s="36" t="s">
        <v>30</v>
      </c>
      <c r="E31" s="39">
        <v>290525</v>
      </c>
      <c r="F31" s="39">
        <v>53686</v>
      </c>
      <c r="G31" s="39">
        <v>236840</v>
      </c>
      <c r="H31" s="39">
        <v>26523</v>
      </c>
      <c r="I31" s="39">
        <v>210317</v>
      </c>
      <c r="J31" s="70">
        <v>56.1</v>
      </c>
      <c r="K31" s="36">
        <v>10.4</v>
      </c>
      <c r="L31" s="36">
        <v>45.7</v>
      </c>
      <c r="M31" s="36">
        <v>5.0999999999999996</v>
      </c>
      <c r="N31" s="36">
        <v>40.6</v>
      </c>
      <c r="O31" s="37"/>
      <c r="P31" s="2">
        <f>'Treas Data'!D65</f>
        <v>286330760848.37</v>
      </c>
    </row>
    <row r="32" spans="3:16" x14ac:dyDescent="0.25">
      <c r="C32" s="35">
        <v>1961</v>
      </c>
      <c r="D32" s="36" t="s">
        <v>30</v>
      </c>
      <c r="E32" s="39">
        <v>292648</v>
      </c>
      <c r="F32" s="39">
        <v>54291</v>
      </c>
      <c r="G32" s="39">
        <v>238357</v>
      </c>
      <c r="H32" s="39">
        <v>27253</v>
      </c>
      <c r="I32" s="39">
        <v>211104</v>
      </c>
      <c r="J32" s="70">
        <v>55.1</v>
      </c>
      <c r="K32" s="36">
        <v>10.199999999999999</v>
      </c>
      <c r="L32" s="36">
        <v>44.9</v>
      </c>
      <c r="M32" s="36">
        <v>5.0999999999999996</v>
      </c>
      <c r="N32" s="36">
        <v>39.799999999999997</v>
      </c>
      <c r="O32" s="37"/>
      <c r="P32" s="2">
        <f>'Treas Data'!D66</f>
        <v>288970938610.04999</v>
      </c>
    </row>
    <row r="33" spans="3:16" x14ac:dyDescent="0.25">
      <c r="C33" s="35">
        <v>1962</v>
      </c>
      <c r="D33" s="36" t="s">
        <v>30</v>
      </c>
      <c r="E33" s="39">
        <v>302928</v>
      </c>
      <c r="F33" s="39">
        <v>54918</v>
      </c>
      <c r="G33" s="39">
        <v>248010</v>
      </c>
      <c r="H33" s="39">
        <v>29663</v>
      </c>
      <c r="I33" s="39">
        <v>218347</v>
      </c>
      <c r="J33" s="70">
        <v>53.4</v>
      </c>
      <c r="K33" s="36">
        <v>9.6999999999999993</v>
      </c>
      <c r="L33" s="36">
        <v>43.7</v>
      </c>
      <c r="M33" s="36">
        <v>5.2</v>
      </c>
      <c r="N33" s="36">
        <v>38.5</v>
      </c>
      <c r="O33" s="37"/>
      <c r="P33" s="2">
        <f>'Treas Data'!D67</f>
        <v>298200822720.87</v>
      </c>
    </row>
    <row r="34" spans="3:16" x14ac:dyDescent="0.25">
      <c r="C34" s="35">
        <v>1963</v>
      </c>
      <c r="D34" s="36" t="s">
        <v>30</v>
      </c>
      <c r="E34" s="39">
        <v>310324</v>
      </c>
      <c r="F34" s="39">
        <v>56345</v>
      </c>
      <c r="G34" s="39">
        <v>253978</v>
      </c>
      <c r="H34" s="39">
        <v>32027</v>
      </c>
      <c r="I34" s="39">
        <v>221951</v>
      </c>
      <c r="J34" s="70">
        <v>51.8</v>
      </c>
      <c r="K34" s="36">
        <v>9.4</v>
      </c>
      <c r="L34" s="36">
        <v>42.4</v>
      </c>
      <c r="M34" s="36">
        <v>5.3</v>
      </c>
      <c r="N34" s="36">
        <v>37.1</v>
      </c>
      <c r="O34" s="37"/>
      <c r="P34" s="2">
        <f>'Treas Data'!D68</f>
        <v>305859632996.40997</v>
      </c>
    </row>
    <row r="35" spans="3:16" x14ac:dyDescent="0.25">
      <c r="C35" s="35">
        <v>1964</v>
      </c>
      <c r="D35" s="36" t="s">
        <v>30</v>
      </c>
      <c r="E35" s="39">
        <v>316059</v>
      </c>
      <c r="F35" s="39">
        <v>59210</v>
      </c>
      <c r="G35" s="39">
        <v>256849</v>
      </c>
      <c r="H35" s="39">
        <v>34794</v>
      </c>
      <c r="I35" s="39">
        <v>222055</v>
      </c>
      <c r="J35" s="70">
        <v>49.4</v>
      </c>
      <c r="K35" s="36">
        <v>9.1999999999999993</v>
      </c>
      <c r="L35" s="36">
        <v>40.1</v>
      </c>
      <c r="M35" s="36">
        <v>5.4</v>
      </c>
      <c r="N35" s="36">
        <v>34.700000000000003</v>
      </c>
      <c r="O35" s="37"/>
      <c r="P35" s="2">
        <f>'Treas Data'!D69</f>
        <v>311712899257.29999</v>
      </c>
    </row>
    <row r="36" spans="3:16" x14ac:dyDescent="0.25">
      <c r="C36" s="35">
        <v>1965</v>
      </c>
      <c r="D36" s="36" t="s">
        <v>30</v>
      </c>
      <c r="E36" s="39">
        <v>322318</v>
      </c>
      <c r="F36" s="39">
        <v>61540</v>
      </c>
      <c r="G36" s="39">
        <v>260778</v>
      </c>
      <c r="H36" s="39">
        <v>39100</v>
      </c>
      <c r="I36" s="39">
        <v>221678</v>
      </c>
      <c r="J36" s="70">
        <v>46.9</v>
      </c>
      <c r="K36" s="36">
        <v>9</v>
      </c>
      <c r="L36" s="36">
        <v>38</v>
      </c>
      <c r="M36" s="36">
        <v>5.7</v>
      </c>
      <c r="N36" s="36">
        <v>32.299999999999997</v>
      </c>
      <c r="O36" s="37"/>
      <c r="P36" s="2">
        <f>'Treas Data'!D70</f>
        <v>317273898983.64001</v>
      </c>
    </row>
    <row r="37" spans="3:16" x14ac:dyDescent="0.25">
      <c r="C37" s="35">
        <v>1966</v>
      </c>
      <c r="D37" s="36" t="s">
        <v>30</v>
      </c>
      <c r="E37" s="39">
        <v>328498</v>
      </c>
      <c r="F37" s="39">
        <v>64784</v>
      </c>
      <c r="G37" s="39">
        <v>263714</v>
      </c>
      <c r="H37" s="39">
        <v>42169</v>
      </c>
      <c r="I37" s="39">
        <v>221545</v>
      </c>
      <c r="J37" s="70">
        <v>43.6</v>
      </c>
      <c r="K37" s="36">
        <v>8.6</v>
      </c>
      <c r="L37" s="36">
        <v>35</v>
      </c>
      <c r="M37" s="36">
        <v>5.6</v>
      </c>
      <c r="N37" s="36">
        <v>29.4</v>
      </c>
      <c r="O37" s="37"/>
      <c r="P37" s="2">
        <f>'Treas Data'!D71</f>
        <v>319907087795.47998</v>
      </c>
    </row>
    <row r="38" spans="3:16" x14ac:dyDescent="0.25">
      <c r="C38" s="35">
        <v>1967</v>
      </c>
      <c r="D38" s="36" t="s">
        <v>30</v>
      </c>
      <c r="E38" s="39">
        <v>340445</v>
      </c>
      <c r="F38" s="39">
        <v>73819</v>
      </c>
      <c r="G38" s="39">
        <v>266626</v>
      </c>
      <c r="H38" s="39">
        <v>46719</v>
      </c>
      <c r="I38" s="39">
        <v>219907</v>
      </c>
      <c r="J38" s="70">
        <v>41.9</v>
      </c>
      <c r="K38" s="36">
        <v>9.1</v>
      </c>
      <c r="L38" s="36">
        <v>32.799999999999997</v>
      </c>
      <c r="M38" s="36">
        <v>5.8</v>
      </c>
      <c r="N38" s="36">
        <v>27.1</v>
      </c>
      <c r="O38" s="37"/>
      <c r="P38" s="2">
        <f>'Treas Data'!D72</f>
        <v>326220937794.53998</v>
      </c>
    </row>
    <row r="39" spans="3:16" x14ac:dyDescent="0.25">
      <c r="C39" s="35">
        <v>1968</v>
      </c>
      <c r="D39" s="36" t="s">
        <v>30</v>
      </c>
      <c r="E39" s="39">
        <v>368685</v>
      </c>
      <c r="F39" s="39">
        <v>79140</v>
      </c>
      <c r="G39" s="39">
        <v>289545</v>
      </c>
      <c r="H39" s="39">
        <v>52230</v>
      </c>
      <c r="I39" s="39">
        <v>237315</v>
      </c>
      <c r="J39" s="70">
        <v>42.5</v>
      </c>
      <c r="K39" s="36">
        <v>9.1</v>
      </c>
      <c r="L39" s="36">
        <v>33.4</v>
      </c>
      <c r="M39" s="36">
        <v>6</v>
      </c>
      <c r="N39" s="36">
        <v>27.4</v>
      </c>
      <c r="O39" s="37"/>
      <c r="P39" s="2">
        <f>'Treas Data'!D73</f>
        <v>347578406425.88</v>
      </c>
    </row>
    <row r="40" spans="3:16" x14ac:dyDescent="0.25">
      <c r="C40" s="35">
        <v>1969</v>
      </c>
      <c r="D40" s="36" t="s">
        <v>30</v>
      </c>
      <c r="E40" s="39">
        <v>365769</v>
      </c>
      <c r="F40" s="39">
        <v>87661</v>
      </c>
      <c r="G40" s="39">
        <v>278108</v>
      </c>
      <c r="H40" s="39">
        <v>54095</v>
      </c>
      <c r="I40" s="39">
        <v>224013</v>
      </c>
      <c r="J40" s="70">
        <v>38.6</v>
      </c>
      <c r="K40" s="36">
        <v>9.1999999999999993</v>
      </c>
      <c r="L40" s="36">
        <v>29.3</v>
      </c>
      <c r="M40" s="36">
        <v>5.7</v>
      </c>
      <c r="N40" s="36">
        <v>23.6</v>
      </c>
      <c r="O40" s="37"/>
      <c r="P40" s="2">
        <f>'Treas Data'!D74</f>
        <v>353720253841.40997</v>
      </c>
    </row>
    <row r="41" spans="3:16" x14ac:dyDescent="0.25">
      <c r="C41" s="35">
        <v>1970</v>
      </c>
      <c r="D41" s="36" t="s">
        <v>30</v>
      </c>
      <c r="E41" s="39">
        <v>380921</v>
      </c>
      <c r="F41" s="39">
        <v>97723</v>
      </c>
      <c r="G41" s="39">
        <v>283198</v>
      </c>
      <c r="H41" s="39">
        <v>57714</v>
      </c>
      <c r="I41" s="39">
        <v>225484</v>
      </c>
      <c r="J41" s="70">
        <v>37.6</v>
      </c>
      <c r="K41" s="36">
        <v>9.6999999999999993</v>
      </c>
      <c r="L41" s="36">
        <v>28</v>
      </c>
      <c r="M41" s="36">
        <v>5.7</v>
      </c>
      <c r="N41" s="36">
        <v>22.3</v>
      </c>
      <c r="O41" s="37"/>
      <c r="P41" s="2">
        <f>'Treas Data'!D75</f>
        <v>370918706949.92999</v>
      </c>
    </row>
    <row r="42" spans="3:16" x14ac:dyDescent="0.25">
      <c r="C42" s="35">
        <v>1971</v>
      </c>
      <c r="D42" s="36" t="s">
        <v>30</v>
      </c>
      <c r="E42" s="39">
        <v>408176</v>
      </c>
      <c r="F42" s="39">
        <v>105140</v>
      </c>
      <c r="G42" s="39">
        <v>303037</v>
      </c>
      <c r="H42" s="39">
        <v>65518</v>
      </c>
      <c r="I42" s="39">
        <v>237519</v>
      </c>
      <c r="J42" s="70">
        <v>37.799999999999997</v>
      </c>
      <c r="K42" s="36">
        <v>9.6999999999999993</v>
      </c>
      <c r="L42" s="36">
        <v>28.1</v>
      </c>
      <c r="M42" s="36">
        <v>6.1</v>
      </c>
      <c r="N42" s="36">
        <v>22</v>
      </c>
      <c r="O42" s="37"/>
      <c r="P42" s="2">
        <f>'Treas Data'!D76</f>
        <v>398129744455.53998</v>
      </c>
    </row>
    <row r="43" spans="3:16" x14ac:dyDescent="0.25">
      <c r="C43" s="35">
        <v>1972</v>
      </c>
      <c r="D43" s="36" t="s">
        <v>30</v>
      </c>
      <c r="E43" s="39">
        <v>435936</v>
      </c>
      <c r="F43" s="39">
        <v>113559</v>
      </c>
      <c r="G43" s="39">
        <v>322377</v>
      </c>
      <c r="H43" s="39">
        <v>71426</v>
      </c>
      <c r="I43" s="39">
        <v>250951</v>
      </c>
      <c r="J43" s="70">
        <v>37</v>
      </c>
      <c r="K43" s="36">
        <v>9.6</v>
      </c>
      <c r="L43" s="36">
        <v>27.4</v>
      </c>
      <c r="M43" s="36">
        <v>6.1</v>
      </c>
      <c r="N43" s="36">
        <v>21.3</v>
      </c>
      <c r="O43" s="37"/>
      <c r="P43" s="2">
        <f>'Treas Data'!D77</f>
        <v>427260460940.5</v>
      </c>
    </row>
    <row r="44" spans="3:16" x14ac:dyDescent="0.25">
      <c r="C44" s="35">
        <v>1973</v>
      </c>
      <c r="D44" s="36" t="s">
        <v>30</v>
      </c>
      <c r="E44" s="39">
        <v>466291</v>
      </c>
      <c r="F44" s="39">
        <v>125381</v>
      </c>
      <c r="G44" s="39">
        <v>340910</v>
      </c>
      <c r="H44" s="39">
        <v>75181</v>
      </c>
      <c r="I44" s="39">
        <v>265729</v>
      </c>
      <c r="J44" s="70">
        <v>35.700000000000003</v>
      </c>
      <c r="K44" s="36">
        <v>9.6</v>
      </c>
      <c r="L44" s="36">
        <v>26.1</v>
      </c>
      <c r="M44" s="36">
        <v>5.7</v>
      </c>
      <c r="N44" s="36">
        <v>20.3</v>
      </c>
      <c r="O44" s="37"/>
      <c r="P44" s="2">
        <f>'Treas Data'!D78</f>
        <v>458141605312.09003</v>
      </c>
    </row>
    <row r="45" spans="3:16" x14ac:dyDescent="0.25">
      <c r="C45" s="35">
        <v>1974</v>
      </c>
      <c r="D45" s="36" t="s">
        <v>30</v>
      </c>
      <c r="E45" s="39">
        <v>483893</v>
      </c>
      <c r="F45" s="39">
        <v>140194</v>
      </c>
      <c r="G45" s="39">
        <v>343699</v>
      </c>
      <c r="H45" s="39">
        <v>80648</v>
      </c>
      <c r="I45" s="39">
        <v>263051</v>
      </c>
      <c r="J45" s="70">
        <v>33.6</v>
      </c>
      <c r="K45" s="36">
        <v>9.6999999999999993</v>
      </c>
      <c r="L45" s="36">
        <v>23.9</v>
      </c>
      <c r="M45" s="36">
        <v>5.6</v>
      </c>
      <c r="N45" s="36">
        <v>18.3</v>
      </c>
      <c r="O45" s="37"/>
      <c r="P45" s="2">
        <f>'Treas Data'!D79</f>
        <v>475059815731.54999</v>
      </c>
    </row>
    <row r="46" spans="3:16" x14ac:dyDescent="0.25">
      <c r="C46" s="35">
        <v>1975</v>
      </c>
      <c r="D46" s="36" t="s">
        <v>30</v>
      </c>
      <c r="E46" s="39">
        <v>541925</v>
      </c>
      <c r="F46" s="39">
        <v>147225</v>
      </c>
      <c r="G46" s="39">
        <v>394700</v>
      </c>
      <c r="H46" s="39">
        <v>84993</v>
      </c>
      <c r="I46" s="39">
        <v>309707</v>
      </c>
      <c r="J46" s="70">
        <v>34.700000000000003</v>
      </c>
      <c r="K46" s="36">
        <v>9.4</v>
      </c>
      <c r="L46" s="36">
        <v>25.3</v>
      </c>
      <c r="M46" s="36">
        <v>5.4</v>
      </c>
      <c r="N46" s="36">
        <v>19.8</v>
      </c>
      <c r="O46" s="37"/>
      <c r="P46" s="2">
        <f>'Treas Data'!D80</f>
        <v>533189000000</v>
      </c>
    </row>
    <row r="47" spans="3:16" x14ac:dyDescent="0.25">
      <c r="C47" s="35">
        <v>1976</v>
      </c>
      <c r="D47" s="36" t="s">
        <v>30</v>
      </c>
      <c r="E47" s="39">
        <v>628970</v>
      </c>
      <c r="F47" s="39">
        <v>151566</v>
      </c>
      <c r="G47" s="39">
        <v>477404</v>
      </c>
      <c r="H47" s="39">
        <v>94714</v>
      </c>
      <c r="I47" s="39">
        <v>382690</v>
      </c>
      <c r="J47" s="70">
        <v>36.200000000000003</v>
      </c>
      <c r="K47" s="36">
        <v>8.6999999999999993</v>
      </c>
      <c r="L47" s="36">
        <v>27.5</v>
      </c>
      <c r="M47" s="36">
        <v>5.5</v>
      </c>
      <c r="N47" s="36">
        <v>22</v>
      </c>
      <c r="O47" s="37"/>
      <c r="P47" s="2">
        <f>'Treas Data'!D81</f>
        <v>620433000000</v>
      </c>
    </row>
    <row r="48" spans="3:16" x14ac:dyDescent="0.25">
      <c r="C48" s="35" t="s">
        <v>31</v>
      </c>
      <c r="D48" s="36" t="s">
        <v>32</v>
      </c>
      <c r="E48" s="39">
        <v>643561</v>
      </c>
      <c r="F48" s="39">
        <v>148052</v>
      </c>
      <c r="G48" s="39">
        <v>495509</v>
      </c>
      <c r="H48" s="39">
        <v>96702</v>
      </c>
      <c r="I48" s="39">
        <v>398807</v>
      </c>
      <c r="J48" s="70">
        <v>35.200000000000003</v>
      </c>
      <c r="K48" s="36">
        <v>8.1</v>
      </c>
      <c r="L48" s="36">
        <v>27.1</v>
      </c>
      <c r="M48" s="36">
        <v>5.3</v>
      </c>
      <c r="N48" s="36">
        <v>21.8</v>
      </c>
      <c r="O48" s="37"/>
    </row>
    <row r="49" spans="3:16" x14ac:dyDescent="0.25">
      <c r="C49" s="35">
        <v>1977</v>
      </c>
      <c r="D49" s="36" t="s">
        <v>30</v>
      </c>
      <c r="E49" s="39">
        <v>706398</v>
      </c>
      <c r="F49" s="39">
        <v>157294</v>
      </c>
      <c r="G49" s="39">
        <v>549104</v>
      </c>
      <c r="H49" s="39">
        <v>105004</v>
      </c>
      <c r="I49" s="39">
        <v>444100</v>
      </c>
      <c r="J49" s="70">
        <v>35.799999999999997</v>
      </c>
      <c r="K49" s="36">
        <v>8</v>
      </c>
      <c r="L49" s="36">
        <v>27.8</v>
      </c>
      <c r="M49" s="36">
        <v>5.3</v>
      </c>
      <c r="N49" s="36">
        <v>22.5</v>
      </c>
      <c r="O49" s="37"/>
      <c r="P49" s="2">
        <v>698840000000</v>
      </c>
    </row>
    <row r="50" spans="3:16" x14ac:dyDescent="0.25">
      <c r="C50" s="35">
        <v>1978</v>
      </c>
      <c r="D50" s="36" t="s">
        <v>30</v>
      </c>
      <c r="E50" s="39">
        <v>776602</v>
      </c>
      <c r="F50" s="39">
        <v>169476</v>
      </c>
      <c r="G50" s="39">
        <v>607126</v>
      </c>
      <c r="H50" s="39">
        <v>115480</v>
      </c>
      <c r="I50" s="39">
        <v>491646</v>
      </c>
      <c r="J50" s="70">
        <v>35</v>
      </c>
      <c r="K50" s="36">
        <v>7.6</v>
      </c>
      <c r="L50" s="36">
        <v>27.4</v>
      </c>
      <c r="M50" s="36">
        <v>5.2</v>
      </c>
      <c r="N50" s="36">
        <v>22.2</v>
      </c>
      <c r="O50" s="37"/>
      <c r="P50" s="2">
        <v>771544000000</v>
      </c>
    </row>
    <row r="51" spans="3:16" x14ac:dyDescent="0.25">
      <c r="C51" s="35">
        <v>1979</v>
      </c>
      <c r="D51" s="36" t="s">
        <v>30</v>
      </c>
      <c r="E51" s="39">
        <v>829467</v>
      </c>
      <c r="F51" s="39">
        <v>189161</v>
      </c>
      <c r="G51" s="39">
        <v>640306</v>
      </c>
      <c r="H51" s="39">
        <v>115594</v>
      </c>
      <c r="I51" s="39">
        <v>524712</v>
      </c>
      <c r="J51" s="70">
        <v>33.200000000000003</v>
      </c>
      <c r="K51" s="36">
        <v>7.6</v>
      </c>
      <c r="L51" s="36">
        <v>25.6</v>
      </c>
      <c r="M51" s="36">
        <v>4.5999999999999996</v>
      </c>
      <c r="N51" s="36">
        <v>21</v>
      </c>
      <c r="O51" s="37"/>
      <c r="P51" s="2">
        <v>826519000000</v>
      </c>
    </row>
    <row r="52" spans="3:16" x14ac:dyDescent="0.25">
      <c r="C52" s="35">
        <v>1980</v>
      </c>
      <c r="D52" s="36" t="s">
        <v>30</v>
      </c>
      <c r="E52" s="39">
        <v>909041</v>
      </c>
      <c r="F52" s="39">
        <v>197118</v>
      </c>
      <c r="G52" s="39">
        <v>711923</v>
      </c>
      <c r="H52" s="39">
        <v>120846</v>
      </c>
      <c r="I52" s="39">
        <v>591077</v>
      </c>
      <c r="J52" s="70">
        <v>33.299999999999997</v>
      </c>
      <c r="K52" s="36">
        <v>7.2</v>
      </c>
      <c r="L52" s="36">
        <v>26.1</v>
      </c>
      <c r="M52" s="36">
        <v>4.4000000000000004</v>
      </c>
      <c r="N52" s="36">
        <v>21.7</v>
      </c>
      <c r="O52" s="37"/>
      <c r="P52" s="2">
        <v>907701000000</v>
      </c>
    </row>
    <row r="53" spans="3:16" x14ac:dyDescent="0.25">
      <c r="C53" s="35">
        <v>1981</v>
      </c>
      <c r="D53" s="36" t="s">
        <v>30</v>
      </c>
      <c r="E53" s="39">
        <v>994828</v>
      </c>
      <c r="F53" s="39">
        <v>205418</v>
      </c>
      <c r="G53" s="39">
        <v>789410</v>
      </c>
      <c r="H53" s="39">
        <v>124466</v>
      </c>
      <c r="I53" s="39">
        <v>664944</v>
      </c>
      <c r="J53" s="70">
        <v>32.6</v>
      </c>
      <c r="K53" s="36">
        <v>6.7</v>
      </c>
      <c r="L53" s="36">
        <v>25.8</v>
      </c>
      <c r="M53" s="36">
        <v>4.0999999999999996</v>
      </c>
      <c r="N53" s="36">
        <v>21.8</v>
      </c>
      <c r="O53" s="37"/>
      <c r="P53" s="2">
        <v>997855000000</v>
      </c>
    </row>
    <row r="54" spans="3:16" x14ac:dyDescent="0.25">
      <c r="C54" s="35">
        <v>1982</v>
      </c>
      <c r="D54" s="36" t="s">
        <v>30</v>
      </c>
      <c r="E54" s="39">
        <v>1137315</v>
      </c>
      <c r="F54" s="39">
        <v>212740</v>
      </c>
      <c r="G54" s="39">
        <v>924575</v>
      </c>
      <c r="H54" s="39">
        <v>134497</v>
      </c>
      <c r="I54" s="39">
        <v>790078</v>
      </c>
      <c r="J54" s="70">
        <v>35.200000000000003</v>
      </c>
      <c r="K54" s="36">
        <v>6.6</v>
      </c>
      <c r="L54" s="36">
        <v>28.6</v>
      </c>
      <c r="M54" s="36">
        <v>4.2</v>
      </c>
      <c r="N54" s="36">
        <v>24.5</v>
      </c>
      <c r="O54" s="37"/>
      <c r="P54" s="2">
        <v>1142034000000</v>
      </c>
    </row>
    <row r="55" spans="3:16" x14ac:dyDescent="0.25">
      <c r="C55" s="35">
        <v>1983</v>
      </c>
      <c r="D55" s="36" t="s">
        <v>30</v>
      </c>
      <c r="E55" s="39">
        <v>1371660</v>
      </c>
      <c r="F55" s="39">
        <v>234392</v>
      </c>
      <c r="G55" s="39">
        <v>1137268</v>
      </c>
      <c r="H55" s="39">
        <v>155527</v>
      </c>
      <c r="I55" s="39">
        <v>981741</v>
      </c>
      <c r="J55" s="70">
        <v>39.9</v>
      </c>
      <c r="K55" s="36">
        <v>6.8</v>
      </c>
      <c r="L55" s="36">
        <v>33.1</v>
      </c>
      <c r="M55" s="36">
        <v>4.5</v>
      </c>
      <c r="N55" s="36">
        <v>28.5</v>
      </c>
      <c r="O55" s="37"/>
      <c r="P55" s="2">
        <v>1377210000000</v>
      </c>
    </row>
    <row r="56" spans="3:16" x14ac:dyDescent="0.25">
      <c r="C56" s="35">
        <v>1984</v>
      </c>
      <c r="D56" s="36" t="s">
        <v>30</v>
      </c>
      <c r="E56" s="39">
        <v>1564586</v>
      </c>
      <c r="F56" s="39">
        <v>257611</v>
      </c>
      <c r="G56" s="39">
        <v>1306975</v>
      </c>
      <c r="H56" s="39">
        <v>155122</v>
      </c>
      <c r="I56" s="39">
        <v>1151853</v>
      </c>
      <c r="J56" s="70">
        <v>40.700000000000003</v>
      </c>
      <c r="K56" s="36">
        <v>6.7</v>
      </c>
      <c r="L56" s="36">
        <v>34</v>
      </c>
      <c r="M56" s="36">
        <v>4</v>
      </c>
      <c r="N56" s="36">
        <v>30</v>
      </c>
      <c r="O56" s="37"/>
      <c r="P56" s="2">
        <v>1572266000000</v>
      </c>
    </row>
    <row r="57" spans="3:16" x14ac:dyDescent="0.25">
      <c r="C57" s="35">
        <v>1985</v>
      </c>
      <c r="D57" s="36" t="s">
        <v>30</v>
      </c>
      <c r="E57" s="39">
        <v>1817423</v>
      </c>
      <c r="F57" s="39">
        <v>310163</v>
      </c>
      <c r="G57" s="39">
        <v>1507260</v>
      </c>
      <c r="H57" s="39">
        <v>169806</v>
      </c>
      <c r="I57" s="39">
        <v>1337454</v>
      </c>
      <c r="J57" s="70">
        <v>43.9</v>
      </c>
      <c r="K57" s="36">
        <v>7.5</v>
      </c>
      <c r="L57" s="36">
        <v>36.4</v>
      </c>
      <c r="M57" s="36">
        <v>4.0999999999999996</v>
      </c>
      <c r="N57" s="36">
        <v>32.299999999999997</v>
      </c>
      <c r="O57" s="37"/>
      <c r="P57" s="2">
        <v>1823103000000</v>
      </c>
    </row>
    <row r="58" spans="3:16" x14ac:dyDescent="0.25">
      <c r="C58" s="35">
        <v>1986</v>
      </c>
      <c r="D58" s="36" t="s">
        <v>30</v>
      </c>
      <c r="E58" s="39">
        <v>2120501</v>
      </c>
      <c r="F58" s="39">
        <v>379878</v>
      </c>
      <c r="G58" s="39">
        <v>1740623</v>
      </c>
      <c r="H58" s="39">
        <v>190855</v>
      </c>
      <c r="I58" s="39">
        <v>1549767</v>
      </c>
      <c r="J58" s="70">
        <v>48.1</v>
      </c>
      <c r="K58" s="36">
        <v>8.6</v>
      </c>
      <c r="L58" s="36">
        <v>39.4</v>
      </c>
      <c r="M58" s="36">
        <v>4.3</v>
      </c>
      <c r="N58" s="36">
        <v>35.1</v>
      </c>
      <c r="O58" s="37"/>
      <c r="P58" s="2">
        <v>2125302616658.4199</v>
      </c>
    </row>
    <row r="59" spans="3:16" x14ac:dyDescent="0.25">
      <c r="C59" s="35">
        <v>1987</v>
      </c>
      <c r="D59" s="36" t="s">
        <v>30</v>
      </c>
      <c r="E59" s="39">
        <v>2345956</v>
      </c>
      <c r="F59" s="39">
        <v>456203</v>
      </c>
      <c r="G59" s="39">
        <v>1889753</v>
      </c>
      <c r="H59" s="39">
        <v>212040</v>
      </c>
      <c r="I59" s="39">
        <v>1677713</v>
      </c>
      <c r="J59" s="70">
        <v>50.5</v>
      </c>
      <c r="K59" s="36">
        <v>9.8000000000000007</v>
      </c>
      <c r="L59" s="36">
        <v>40.700000000000003</v>
      </c>
      <c r="M59" s="36">
        <v>4.5999999999999996</v>
      </c>
      <c r="N59" s="36">
        <v>36.1</v>
      </c>
      <c r="O59" s="37"/>
      <c r="P59" s="2">
        <v>2350276890953</v>
      </c>
    </row>
    <row r="60" spans="3:16" x14ac:dyDescent="0.25">
      <c r="C60" s="35">
        <v>1988</v>
      </c>
      <c r="D60" s="36" t="s">
        <v>30</v>
      </c>
      <c r="E60" s="39">
        <v>2601104</v>
      </c>
      <c r="F60" s="39">
        <v>549487</v>
      </c>
      <c r="G60" s="39">
        <v>2051616</v>
      </c>
      <c r="H60" s="39">
        <v>229218</v>
      </c>
      <c r="I60" s="39">
        <v>1822398</v>
      </c>
      <c r="J60" s="70">
        <v>51.9</v>
      </c>
      <c r="K60" s="36">
        <v>11</v>
      </c>
      <c r="L60" s="36">
        <v>41</v>
      </c>
      <c r="M60" s="36">
        <v>4.5999999999999996</v>
      </c>
      <c r="N60" s="36">
        <v>36.4</v>
      </c>
      <c r="O60" s="37"/>
      <c r="P60" s="2">
        <v>2602337712041.1602</v>
      </c>
    </row>
    <row r="61" spans="3:16" x14ac:dyDescent="0.25">
      <c r="C61" s="35">
        <v>1989</v>
      </c>
      <c r="D61" s="36" t="s">
        <v>30</v>
      </c>
      <c r="E61" s="39">
        <v>2867800</v>
      </c>
      <c r="F61" s="39">
        <v>677084</v>
      </c>
      <c r="G61" s="39">
        <v>2190716</v>
      </c>
      <c r="H61" s="39">
        <v>220088</v>
      </c>
      <c r="I61" s="39">
        <v>1970628</v>
      </c>
      <c r="J61" s="70">
        <v>53.1</v>
      </c>
      <c r="K61" s="36">
        <v>12.5</v>
      </c>
      <c r="L61" s="36">
        <v>40.6</v>
      </c>
      <c r="M61" s="36">
        <v>4.0999999999999996</v>
      </c>
      <c r="N61" s="36">
        <v>36.5</v>
      </c>
      <c r="O61" s="37"/>
      <c r="P61" s="2">
        <v>2857430960187.3198</v>
      </c>
    </row>
    <row r="62" spans="3:16" x14ac:dyDescent="0.25">
      <c r="C62" s="35">
        <v>1990</v>
      </c>
      <c r="D62" s="36" t="s">
        <v>30</v>
      </c>
      <c r="E62" s="39">
        <v>3206290</v>
      </c>
      <c r="F62" s="39">
        <v>794733</v>
      </c>
      <c r="G62" s="39">
        <v>2411558</v>
      </c>
      <c r="H62" s="39">
        <v>234410</v>
      </c>
      <c r="I62" s="39">
        <v>2177147</v>
      </c>
      <c r="J62" s="70">
        <v>55.9</v>
      </c>
      <c r="K62" s="36">
        <v>13.9</v>
      </c>
      <c r="L62" s="36">
        <v>42</v>
      </c>
      <c r="M62" s="36">
        <v>4.0999999999999996</v>
      </c>
      <c r="N62" s="36">
        <v>38</v>
      </c>
      <c r="O62" s="37"/>
      <c r="P62" s="2">
        <v>3233313451777.25</v>
      </c>
    </row>
    <row r="63" spans="3:16" x14ac:dyDescent="0.25">
      <c r="C63" s="35">
        <v>1991</v>
      </c>
      <c r="D63" s="36" t="s">
        <v>30</v>
      </c>
      <c r="E63" s="39">
        <v>3598178</v>
      </c>
      <c r="F63" s="39">
        <v>909179</v>
      </c>
      <c r="G63" s="39">
        <v>2688999</v>
      </c>
      <c r="H63" s="39">
        <v>258591</v>
      </c>
      <c r="I63" s="39">
        <v>2430408</v>
      </c>
      <c r="J63" s="70">
        <v>60.6</v>
      </c>
      <c r="K63" s="36">
        <v>15.3</v>
      </c>
      <c r="L63" s="36">
        <v>45.3</v>
      </c>
      <c r="M63" s="36">
        <v>4.4000000000000004</v>
      </c>
      <c r="N63" s="36">
        <v>40.9</v>
      </c>
      <c r="O63" s="37"/>
      <c r="P63" s="2">
        <v>3665303351697.0298</v>
      </c>
    </row>
    <row r="64" spans="3:16" x14ac:dyDescent="0.25">
      <c r="C64" s="35">
        <v>1992</v>
      </c>
      <c r="D64" s="36" t="s">
        <v>30</v>
      </c>
      <c r="E64" s="39">
        <v>4001787</v>
      </c>
      <c r="F64" s="39">
        <v>1002050</v>
      </c>
      <c r="G64" s="39">
        <v>2999737</v>
      </c>
      <c r="H64" s="39">
        <v>296397</v>
      </c>
      <c r="I64" s="39">
        <v>2703341</v>
      </c>
      <c r="J64" s="70">
        <v>64.099999999999994</v>
      </c>
      <c r="K64" s="36">
        <v>16.100000000000001</v>
      </c>
      <c r="L64" s="36">
        <v>48.1</v>
      </c>
      <c r="M64" s="36">
        <v>4.8</v>
      </c>
      <c r="N64" s="36">
        <v>43.3</v>
      </c>
      <c r="O64" s="37"/>
      <c r="P64" s="2">
        <v>4064620655521.6602</v>
      </c>
    </row>
    <row r="65" spans="3:17" x14ac:dyDescent="0.25">
      <c r="C65" s="35">
        <v>1993</v>
      </c>
      <c r="D65" s="36" t="s">
        <v>30</v>
      </c>
      <c r="E65" s="39">
        <v>4351044</v>
      </c>
      <c r="F65" s="39">
        <v>1102647</v>
      </c>
      <c r="G65" s="39">
        <v>3248396</v>
      </c>
      <c r="H65" s="39">
        <v>325653</v>
      </c>
      <c r="I65" s="39">
        <v>2922744</v>
      </c>
      <c r="J65" s="70">
        <v>66.2</v>
      </c>
      <c r="K65" s="36">
        <v>16.8</v>
      </c>
      <c r="L65" s="36">
        <v>49.4</v>
      </c>
      <c r="M65" s="36">
        <v>5</v>
      </c>
      <c r="N65" s="36">
        <v>44.4</v>
      </c>
      <c r="O65" s="37"/>
      <c r="P65" s="2">
        <v>4411488883139.3799</v>
      </c>
    </row>
    <row r="66" spans="3:17" x14ac:dyDescent="0.25">
      <c r="C66" s="35">
        <v>1994</v>
      </c>
      <c r="D66" s="36" t="s">
        <v>30</v>
      </c>
      <c r="E66" s="39">
        <v>4643307</v>
      </c>
      <c r="F66" s="39">
        <v>1210242</v>
      </c>
      <c r="G66" s="39">
        <v>3433065</v>
      </c>
      <c r="H66" s="39">
        <v>355150</v>
      </c>
      <c r="I66" s="39">
        <v>3077915</v>
      </c>
      <c r="J66" s="70">
        <v>66.7</v>
      </c>
      <c r="K66" s="36">
        <v>17.399999999999999</v>
      </c>
      <c r="L66" s="36">
        <v>49.3</v>
      </c>
      <c r="M66" s="36">
        <v>5.0999999999999996</v>
      </c>
      <c r="N66" s="36">
        <v>44.2</v>
      </c>
      <c r="O66" s="37"/>
      <c r="P66" s="2">
        <v>4692749910013.3203</v>
      </c>
    </row>
    <row r="67" spans="3:17" x14ac:dyDescent="0.25">
      <c r="C67" s="35">
        <v>1995</v>
      </c>
      <c r="D67" s="36" t="s">
        <v>30</v>
      </c>
      <c r="E67" s="39">
        <v>4920586</v>
      </c>
      <c r="F67" s="39">
        <v>1316208</v>
      </c>
      <c r="G67" s="39">
        <v>3604378</v>
      </c>
      <c r="H67" s="39">
        <v>374114</v>
      </c>
      <c r="I67" s="39">
        <v>3230264</v>
      </c>
      <c r="J67" s="70">
        <v>67.2</v>
      </c>
      <c r="K67" s="36">
        <v>18</v>
      </c>
      <c r="L67" s="36">
        <v>49.2</v>
      </c>
      <c r="M67" s="36">
        <v>5.0999999999999996</v>
      </c>
      <c r="N67" s="36">
        <v>44.1</v>
      </c>
      <c r="O67" s="37"/>
      <c r="P67" s="2">
        <v>4973982900709.3896</v>
      </c>
    </row>
    <row r="68" spans="3:17" x14ac:dyDescent="0.25">
      <c r="C68" s="35">
        <v>1996</v>
      </c>
      <c r="D68" s="36" t="s">
        <v>30</v>
      </c>
      <c r="E68" s="39">
        <v>5181465</v>
      </c>
      <c r="F68" s="39">
        <v>1447392</v>
      </c>
      <c r="G68" s="39">
        <v>3734073</v>
      </c>
      <c r="H68" s="39">
        <v>390924</v>
      </c>
      <c r="I68" s="39">
        <v>3343149</v>
      </c>
      <c r="J68" s="70">
        <v>67.3</v>
      </c>
      <c r="K68" s="36">
        <v>18.8</v>
      </c>
      <c r="L68" s="36">
        <v>48.5</v>
      </c>
      <c r="M68" s="36">
        <v>5.0999999999999996</v>
      </c>
      <c r="N68" s="36">
        <v>43.5</v>
      </c>
      <c r="O68" s="37"/>
      <c r="P68" s="2">
        <v>5224810939135.7305</v>
      </c>
    </row>
    <row r="69" spans="3:17" x14ac:dyDescent="0.25">
      <c r="C69" s="35">
        <v>1997</v>
      </c>
      <c r="D69" s="36" t="s">
        <v>30</v>
      </c>
      <c r="E69" s="39">
        <v>5369206</v>
      </c>
      <c r="F69" s="39">
        <v>1596862</v>
      </c>
      <c r="G69" s="39">
        <v>3772344</v>
      </c>
      <c r="H69" s="39">
        <v>424518</v>
      </c>
      <c r="I69" s="39">
        <v>3347826</v>
      </c>
      <c r="J69" s="70">
        <v>65.599999999999994</v>
      </c>
      <c r="K69" s="36">
        <v>19.5</v>
      </c>
      <c r="L69" s="36">
        <v>46.1</v>
      </c>
      <c r="M69" s="36">
        <v>5.2</v>
      </c>
      <c r="N69" s="36">
        <v>40.9</v>
      </c>
      <c r="O69" s="37"/>
      <c r="P69" s="2">
        <v>5413146011397.3398</v>
      </c>
    </row>
    <row r="70" spans="3:17" x14ac:dyDescent="0.25">
      <c r="C70" s="35">
        <v>1998</v>
      </c>
      <c r="D70" s="36" t="s">
        <v>30</v>
      </c>
      <c r="E70" s="39">
        <v>5478189</v>
      </c>
      <c r="F70" s="39">
        <v>1757090</v>
      </c>
      <c r="G70" s="39">
        <v>3721099</v>
      </c>
      <c r="H70" s="39">
        <v>458182</v>
      </c>
      <c r="I70" s="39">
        <v>3262917</v>
      </c>
      <c r="J70" s="70">
        <v>63.5</v>
      </c>
      <c r="K70" s="36">
        <v>20.399999999999999</v>
      </c>
      <c r="L70" s="36">
        <v>43.1</v>
      </c>
      <c r="M70" s="36">
        <v>5.3</v>
      </c>
      <c r="N70" s="36">
        <v>37.799999999999997</v>
      </c>
      <c r="O70" s="37"/>
      <c r="P70" s="2">
        <v>5526193008897.6201</v>
      </c>
    </row>
    <row r="71" spans="3:17" x14ac:dyDescent="0.25">
      <c r="C71" s="35">
        <v>1999</v>
      </c>
      <c r="D71" s="36" t="s">
        <v>30</v>
      </c>
      <c r="E71" s="39">
        <v>5605523</v>
      </c>
      <c r="F71" s="39">
        <v>1973160</v>
      </c>
      <c r="G71" s="39">
        <v>3632363</v>
      </c>
      <c r="H71" s="39">
        <v>496644</v>
      </c>
      <c r="I71" s="39">
        <v>3135719</v>
      </c>
      <c r="J71" s="70">
        <v>61.4</v>
      </c>
      <c r="K71" s="36">
        <v>21.6</v>
      </c>
      <c r="L71" s="36">
        <v>39.799999999999997</v>
      </c>
      <c r="M71" s="36">
        <v>5.4</v>
      </c>
      <c r="N71" s="36">
        <v>34.4</v>
      </c>
      <c r="O71" s="37"/>
      <c r="P71" s="2">
        <v>5656270901615.4297</v>
      </c>
    </row>
    <row r="72" spans="3:17" x14ac:dyDescent="0.25">
      <c r="C72" s="35">
        <v>2000</v>
      </c>
      <c r="D72" s="36" t="s">
        <v>30</v>
      </c>
      <c r="E72" s="39">
        <v>5628700</v>
      </c>
      <c r="F72" s="39">
        <v>2218896</v>
      </c>
      <c r="G72" s="39">
        <v>3409804</v>
      </c>
      <c r="H72" s="39">
        <v>511413</v>
      </c>
      <c r="I72" s="39">
        <v>2898391</v>
      </c>
      <c r="J72" s="70">
        <v>58</v>
      </c>
      <c r="K72" s="36">
        <v>22.9</v>
      </c>
      <c r="L72" s="36">
        <v>35.1</v>
      </c>
      <c r="M72" s="36">
        <v>5.3</v>
      </c>
      <c r="N72" s="36">
        <v>29.9</v>
      </c>
      <c r="O72" s="37"/>
      <c r="P72" s="2">
        <v>5674178209886.8604</v>
      </c>
    </row>
    <row r="73" spans="3:17" x14ac:dyDescent="0.25">
      <c r="C73" s="35">
        <v>2001</v>
      </c>
      <c r="D73" s="36" t="s">
        <v>30</v>
      </c>
      <c r="E73" s="39">
        <v>5769881</v>
      </c>
      <c r="F73" s="39">
        <v>2450266</v>
      </c>
      <c r="G73" s="39">
        <v>3319615</v>
      </c>
      <c r="H73" s="39">
        <v>534135</v>
      </c>
      <c r="I73" s="39">
        <v>2785480</v>
      </c>
      <c r="J73" s="70">
        <v>57.4</v>
      </c>
      <c r="K73" s="36">
        <v>24.4</v>
      </c>
      <c r="L73" s="36">
        <v>33</v>
      </c>
      <c r="M73" s="36">
        <v>5.3</v>
      </c>
      <c r="N73" s="36">
        <v>27.7</v>
      </c>
      <c r="O73" s="37"/>
      <c r="P73" s="2">
        <v>5807463412200.0596</v>
      </c>
    </row>
    <row r="74" spans="3:17" x14ac:dyDescent="0.25">
      <c r="C74" s="35">
        <v>2002</v>
      </c>
      <c r="D74" s="36" t="s">
        <v>30</v>
      </c>
      <c r="E74" s="39">
        <v>6198401</v>
      </c>
      <c r="F74" s="39">
        <v>2657974</v>
      </c>
      <c r="G74" s="39">
        <v>3540427</v>
      </c>
      <c r="H74" s="39">
        <v>604191</v>
      </c>
      <c r="I74" s="39">
        <v>2936235</v>
      </c>
      <c r="J74" s="70">
        <v>59.7</v>
      </c>
      <c r="K74" s="36">
        <v>25.6</v>
      </c>
      <c r="L74" s="36">
        <v>34.1</v>
      </c>
      <c r="M74" s="36">
        <v>5.8</v>
      </c>
      <c r="N74" s="36">
        <v>28.3</v>
      </c>
      <c r="O74" s="37"/>
      <c r="P74" s="2">
        <v>6228235965597.1602</v>
      </c>
    </row>
    <row r="75" spans="3:17" x14ac:dyDescent="0.25">
      <c r="C75" s="35">
        <v>2003</v>
      </c>
      <c r="D75" s="36" t="s">
        <v>30</v>
      </c>
      <c r="E75" s="39">
        <v>6760014</v>
      </c>
      <c r="F75" s="39">
        <v>2846570</v>
      </c>
      <c r="G75" s="39">
        <v>3913443</v>
      </c>
      <c r="H75" s="39">
        <v>656116</v>
      </c>
      <c r="I75" s="39">
        <v>3257327</v>
      </c>
      <c r="J75" s="70">
        <v>62.5</v>
      </c>
      <c r="K75" s="36">
        <v>26.3</v>
      </c>
      <c r="L75" s="36">
        <v>36.200000000000003</v>
      </c>
      <c r="M75" s="36">
        <v>6.1</v>
      </c>
      <c r="N75" s="36">
        <v>30.1</v>
      </c>
      <c r="O75" s="37"/>
      <c r="P75" s="2">
        <v>6783231062743.6201</v>
      </c>
    </row>
    <row r="76" spans="3:17" x14ac:dyDescent="0.25">
      <c r="C76" s="35">
        <v>2004</v>
      </c>
      <c r="D76" s="36" t="s">
        <v>30</v>
      </c>
      <c r="E76" s="39">
        <v>7354673</v>
      </c>
      <c r="F76" s="39">
        <v>3059129</v>
      </c>
      <c r="G76" s="39">
        <v>4295544</v>
      </c>
      <c r="H76" s="39">
        <v>700341</v>
      </c>
      <c r="I76" s="39">
        <v>3595203</v>
      </c>
      <c r="J76" s="70">
        <v>63.9</v>
      </c>
      <c r="K76" s="36">
        <v>26.6</v>
      </c>
      <c r="L76" s="36">
        <v>37.299999999999997</v>
      </c>
      <c r="M76" s="36">
        <v>6.1</v>
      </c>
      <c r="N76" s="36">
        <v>31.2</v>
      </c>
      <c r="O76" s="37"/>
      <c r="P76" s="2">
        <v>7379052696330.3203</v>
      </c>
    </row>
    <row r="77" spans="3:17" x14ac:dyDescent="0.25">
      <c r="C77" s="35">
        <v>2005</v>
      </c>
      <c r="D77" s="36" t="s">
        <v>30</v>
      </c>
      <c r="E77" s="39">
        <v>7905300</v>
      </c>
      <c r="F77" s="39">
        <v>3313088</v>
      </c>
      <c r="G77" s="39">
        <v>4592213</v>
      </c>
      <c r="H77" s="39">
        <v>736360</v>
      </c>
      <c r="I77" s="39">
        <v>3855853</v>
      </c>
      <c r="J77" s="70">
        <v>64.400000000000006</v>
      </c>
      <c r="K77" s="36">
        <v>27</v>
      </c>
      <c r="L77" s="36">
        <v>37.4</v>
      </c>
      <c r="M77" s="36">
        <v>6</v>
      </c>
      <c r="N77" s="36">
        <v>31.4</v>
      </c>
      <c r="O77" s="37"/>
      <c r="P77" s="2">
        <v>7932709661723.5</v>
      </c>
      <c r="Q77" s="50"/>
    </row>
    <row r="78" spans="3:17" x14ac:dyDescent="0.25">
      <c r="C78" s="35">
        <v>2006</v>
      </c>
      <c r="D78" s="36" t="s">
        <v>30</v>
      </c>
      <c r="E78" s="39">
        <v>8451351</v>
      </c>
      <c r="F78" s="39">
        <v>3622378</v>
      </c>
      <c r="G78" s="39">
        <v>4828973</v>
      </c>
      <c r="H78" s="39">
        <v>768924</v>
      </c>
      <c r="I78" s="39">
        <v>4060049</v>
      </c>
      <c r="J78" s="70">
        <v>64.7</v>
      </c>
      <c r="K78" s="36">
        <v>27.7</v>
      </c>
      <c r="L78" s="36">
        <v>37</v>
      </c>
      <c r="M78" s="36">
        <v>5.9</v>
      </c>
      <c r="N78" s="36">
        <v>31.1</v>
      </c>
      <c r="O78" s="37"/>
      <c r="P78" s="2">
        <v>8506973899215.2305</v>
      </c>
      <c r="Q78" s="51"/>
    </row>
    <row r="79" spans="3:17" x14ac:dyDescent="0.25">
      <c r="C79" s="35">
        <v>2007</v>
      </c>
      <c r="D79" s="36" t="s">
        <v>33</v>
      </c>
      <c r="E79" s="36" t="s">
        <v>34</v>
      </c>
      <c r="F79" s="39">
        <v>9007765</v>
      </c>
      <c r="G79" s="39">
        <v>3924487</v>
      </c>
      <c r="H79" s="39">
        <v>5083278</v>
      </c>
      <c r="I79" s="36" t="s">
        <v>35</v>
      </c>
      <c r="J79" s="36" t="s">
        <v>35</v>
      </c>
      <c r="K79" s="36">
        <v>65.5</v>
      </c>
      <c r="L79" s="36">
        <v>28.5</v>
      </c>
      <c r="M79" s="36">
        <v>36.9</v>
      </c>
      <c r="N79" s="36" t="s">
        <v>35</v>
      </c>
      <c r="O79" s="37" t="s">
        <v>35</v>
      </c>
      <c r="P79" s="2">
        <v>9007653372262.4805</v>
      </c>
    </row>
    <row r="80" spans="3:17" x14ac:dyDescent="0.25">
      <c r="C80" s="35">
        <v>2008</v>
      </c>
      <c r="D80" s="36" t="s">
        <v>33</v>
      </c>
      <c r="E80" s="36" t="s">
        <v>34</v>
      </c>
      <c r="F80" s="39">
        <v>9575497</v>
      </c>
      <c r="G80" s="39">
        <v>4230058</v>
      </c>
      <c r="H80" s="39">
        <v>5345439</v>
      </c>
      <c r="I80" s="36" t="s">
        <v>35</v>
      </c>
      <c r="J80" s="36" t="s">
        <v>35</v>
      </c>
      <c r="K80" s="36">
        <v>66</v>
      </c>
      <c r="L80" s="36">
        <v>29.1</v>
      </c>
      <c r="M80" s="36">
        <v>36.799999999999997</v>
      </c>
      <c r="N80" s="36" t="s">
        <v>35</v>
      </c>
      <c r="O80" s="37" t="s">
        <v>35</v>
      </c>
    </row>
    <row r="81" spans="3:15" x14ac:dyDescent="0.25">
      <c r="C81" s="35">
        <v>2009</v>
      </c>
      <c r="D81" s="36" t="s">
        <v>33</v>
      </c>
      <c r="E81" s="36" t="s">
        <v>34</v>
      </c>
      <c r="F81" s="39">
        <v>10138314</v>
      </c>
      <c r="G81" s="39">
        <v>4584680</v>
      </c>
      <c r="H81" s="39">
        <v>5553634</v>
      </c>
      <c r="I81" s="36" t="s">
        <v>35</v>
      </c>
      <c r="J81" s="36" t="s">
        <v>35</v>
      </c>
      <c r="K81" s="36">
        <v>66.2</v>
      </c>
      <c r="L81" s="36">
        <v>30</v>
      </c>
      <c r="M81" s="36">
        <v>36.299999999999997</v>
      </c>
      <c r="N81" s="36" t="s">
        <v>35</v>
      </c>
      <c r="O81" s="37" t="s">
        <v>35</v>
      </c>
    </row>
    <row r="82" spans="3:15" x14ac:dyDescent="0.25">
      <c r="C82" s="35">
        <v>2010</v>
      </c>
      <c r="D82" s="36" t="s">
        <v>33</v>
      </c>
      <c r="E82" s="36" t="s">
        <v>34</v>
      </c>
      <c r="F82" s="39">
        <v>10637569</v>
      </c>
      <c r="G82" s="39">
        <v>4966390</v>
      </c>
      <c r="H82" s="39">
        <v>5671178</v>
      </c>
      <c r="I82" s="36" t="s">
        <v>35</v>
      </c>
      <c r="J82" s="36" t="s">
        <v>35</v>
      </c>
      <c r="K82" s="36">
        <v>66</v>
      </c>
      <c r="L82" s="36">
        <v>30.8</v>
      </c>
      <c r="M82" s="36">
        <v>35.200000000000003</v>
      </c>
      <c r="N82" s="36" t="s">
        <v>35</v>
      </c>
      <c r="O82" s="37" t="s">
        <v>35</v>
      </c>
    </row>
    <row r="83" spans="3:15" x14ac:dyDescent="0.25">
      <c r="C83" s="35">
        <v>2011</v>
      </c>
      <c r="D83" s="36" t="s">
        <v>33</v>
      </c>
      <c r="E83" s="36" t="s">
        <v>34</v>
      </c>
      <c r="F83" s="39">
        <v>11114768</v>
      </c>
      <c r="G83" s="39">
        <v>5366475</v>
      </c>
      <c r="H83" s="39">
        <v>5748292</v>
      </c>
      <c r="I83" s="36" t="s">
        <v>35</v>
      </c>
      <c r="J83" s="36" t="s">
        <v>35</v>
      </c>
      <c r="K83" s="36">
        <v>65.599999999999994</v>
      </c>
      <c r="L83" s="36">
        <v>31.7</v>
      </c>
      <c r="M83" s="36">
        <v>33.9</v>
      </c>
      <c r="N83" s="36" t="s">
        <v>35</v>
      </c>
      <c r="O83" s="37" t="s">
        <v>35</v>
      </c>
    </row>
    <row r="84" spans="3:15" x14ac:dyDescent="0.25">
      <c r="C84" s="40">
        <v>2012</v>
      </c>
      <c r="D84" s="41" t="s">
        <v>33</v>
      </c>
      <c r="E84" s="41" t="s">
        <v>34</v>
      </c>
      <c r="F84" s="42">
        <v>11487273</v>
      </c>
      <c r="G84" s="42">
        <v>5776160</v>
      </c>
      <c r="H84" s="42">
        <v>5711113</v>
      </c>
      <c r="I84" s="41" t="s">
        <v>35</v>
      </c>
      <c r="J84" s="41" t="s">
        <v>35</v>
      </c>
      <c r="K84" s="41">
        <v>64.599999999999994</v>
      </c>
      <c r="L84" s="41">
        <v>32.5</v>
      </c>
      <c r="M84" s="41">
        <v>32.1</v>
      </c>
      <c r="N84" s="41" t="s">
        <v>35</v>
      </c>
      <c r="O84" s="43" t="s">
        <v>35</v>
      </c>
    </row>
    <row r="85" spans="3:15" x14ac:dyDescent="0.25">
      <c r="C85" t="s">
        <v>29</v>
      </c>
    </row>
  </sheetData>
  <mergeCells count="1">
    <mergeCell ref="J7:N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8"/>
  <sheetViews>
    <sheetView workbookViewId="0">
      <selection activeCell="C15" sqref="C15"/>
    </sheetView>
  </sheetViews>
  <sheetFormatPr defaultRowHeight="15" x14ac:dyDescent="0.25"/>
  <cols>
    <col min="2" max="2" width="12.7109375" customWidth="1"/>
    <col min="3" max="3" width="23" customWidth="1"/>
    <col min="4" max="4" width="19" bestFit="1" customWidth="1"/>
    <col min="5" max="5" width="20" bestFit="1" customWidth="1"/>
    <col min="8" max="8" width="76.42578125" customWidth="1"/>
  </cols>
  <sheetData>
    <row r="2" spans="1:8" x14ac:dyDescent="0.25">
      <c r="B2" s="6" t="s">
        <v>154</v>
      </c>
      <c r="C2" t="s">
        <v>160</v>
      </c>
    </row>
    <row r="3" spans="1:8" x14ac:dyDescent="0.25">
      <c r="B3" s="6" t="s">
        <v>168</v>
      </c>
      <c r="C3" t="s">
        <v>169</v>
      </c>
    </row>
    <row r="4" spans="1:8" x14ac:dyDescent="0.25">
      <c r="B4" s="73" t="s">
        <v>161</v>
      </c>
      <c r="H4" t="s">
        <v>156</v>
      </c>
    </row>
    <row r="5" spans="1:8" x14ac:dyDescent="0.25">
      <c r="B5" s="71">
        <v>2786</v>
      </c>
      <c r="C5" t="s">
        <v>155</v>
      </c>
      <c r="H5" t="s">
        <v>162</v>
      </c>
    </row>
    <row r="6" spans="1:8" x14ac:dyDescent="0.25">
      <c r="B6" s="72">
        <v>873</v>
      </c>
      <c r="C6" t="s">
        <v>162</v>
      </c>
      <c r="H6" t="s">
        <v>163</v>
      </c>
    </row>
    <row r="7" spans="1:8" x14ac:dyDescent="0.25">
      <c r="B7">
        <v>601</v>
      </c>
      <c r="C7" t="s">
        <v>164</v>
      </c>
      <c r="H7" t="s">
        <v>157</v>
      </c>
    </row>
    <row r="8" spans="1:8" x14ac:dyDescent="0.25">
      <c r="B8">
        <v>267</v>
      </c>
      <c r="C8" t="s">
        <v>165</v>
      </c>
    </row>
    <row r="9" spans="1:8" x14ac:dyDescent="0.25">
      <c r="B9">
        <v>187</v>
      </c>
      <c r="C9" t="s">
        <v>166</v>
      </c>
      <c r="H9" t="s">
        <v>158</v>
      </c>
    </row>
    <row r="10" spans="1:8" x14ac:dyDescent="0.25">
      <c r="B10">
        <v>508</v>
      </c>
      <c r="C10" t="s">
        <v>167</v>
      </c>
      <c r="H10" t="s">
        <v>159</v>
      </c>
    </row>
    <row r="12" spans="1:8" x14ac:dyDescent="0.25">
      <c r="A12" s="82">
        <f>B12/B$15</f>
        <v>0.32633662755696835</v>
      </c>
      <c r="B12">
        <v>6175</v>
      </c>
      <c r="C12" t="s">
        <v>177</v>
      </c>
    </row>
    <row r="13" spans="1:8" x14ac:dyDescent="0.25">
      <c r="A13" s="82">
        <f t="shared" ref="A13:A14" si="0">B13/B$15</f>
        <v>0.39622931894966429</v>
      </c>
      <c r="B13" s="81">
        <f>13672.522-B12</f>
        <v>7497.5220000000008</v>
      </c>
      <c r="C13" t="s">
        <v>180</v>
      </c>
    </row>
    <row r="14" spans="1:8" x14ac:dyDescent="0.25">
      <c r="A14" s="82">
        <f t="shared" si="0"/>
        <v>0.27743405349336736</v>
      </c>
      <c r="B14" s="81">
        <f>D18/10^9</f>
        <v>5249.6567521293</v>
      </c>
      <c r="C14" t="s">
        <v>181</v>
      </c>
    </row>
    <row r="15" spans="1:8" x14ac:dyDescent="0.25">
      <c r="B15" s="81">
        <f>SUM(B12:B14)</f>
        <v>18922.178752129301</v>
      </c>
      <c r="C15" t="s">
        <v>26</v>
      </c>
    </row>
    <row r="17" spans="2:5" ht="15.75" thickBot="1" x14ac:dyDescent="0.3">
      <c r="C17" s="22" t="s">
        <v>178</v>
      </c>
      <c r="D17" s="22" t="s">
        <v>179</v>
      </c>
      <c r="E17" s="22" t="s">
        <v>26</v>
      </c>
    </row>
    <row r="18" spans="2:5" ht="15.75" thickBot="1" x14ac:dyDescent="0.3">
      <c r="B18" s="78">
        <v>42369</v>
      </c>
      <c r="C18" s="79">
        <v>13672522257291.5</v>
      </c>
      <c r="D18" s="79">
        <v>5249656752129.2998</v>
      </c>
      <c r="E18" s="80">
        <v>18922179009420.801</v>
      </c>
    </row>
  </sheetData>
  <hyperlinks>
    <hyperlink ref="B2" r:id="rId1" xr:uid="{00000000-0004-0000-0400-000000000000}"/>
    <hyperlink ref="H10" r:id="rId2" display="https://www.fiscal.treasury.gov/fsreports/rpt/mthTreasStmt/mts1215.pdf" xr:uid="{00000000-0004-0000-0400-000001000000}"/>
    <hyperlink ref="B3" r:id="rId3" xr:uid="{00000000-0004-0000-0400-000002000000}"/>
  </hyperlinks>
  <pageMargins left="0.7" right="0.7" top="0.75" bottom="0.75" header="0.3" footer="0.3"/>
  <pageSetup orientation="portrait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FRED Data</vt:lpstr>
      <vt:lpstr>Treas Data</vt:lpstr>
      <vt:lpstr>Debt-GDP-Graph</vt:lpstr>
      <vt:lpstr>OMB 2008</vt:lpstr>
      <vt:lpstr>Who Owns 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 Stoft</cp:lastModifiedBy>
  <dcterms:created xsi:type="dcterms:W3CDTF">2014-10-23T23:59:29Z</dcterms:created>
  <dcterms:modified xsi:type="dcterms:W3CDTF">2019-07-17T03:31:32Z</dcterms:modified>
</cp:coreProperties>
</file>